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LOBAL Staff Folder - Controllers Office\Lisa Schaible\Service Centers\Service Center Assessments\FY25\"/>
    </mc:Choice>
  </mc:AlternateContent>
  <xr:revisionPtr revIDLastSave="0" documentId="13_ncr:1_{AC1B8368-D20A-47C5-B518-BA1928EADF1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relim" sheetId="1" state="hidden" r:id="rId1"/>
    <sheet name="FINAL" sheetId="4" r:id="rId2"/>
  </sheets>
  <externalReferences>
    <externalReference r:id="rId3"/>
    <externalReference r:id="rId4"/>
  </externalReferences>
  <definedNames>
    <definedName name="_xlnm.Print_Area" localSheetId="1">FINAL!$B$1:$AN$51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46" i="4" l="1"/>
  <c r="BN13" i="4"/>
  <c r="BN12" i="4"/>
  <c r="BK13" i="4" l="1"/>
  <c r="BK12" i="4"/>
  <c r="BN21" i="4" l="1"/>
  <c r="BL21" i="4"/>
  <c r="BN14" i="4"/>
  <c r="BL14" i="4"/>
  <c r="BI29" i="4"/>
  <c r="BK21" i="4"/>
  <c r="BI21" i="4"/>
  <c r="BK14" i="4"/>
  <c r="BI14" i="4"/>
  <c r="BI46" i="4"/>
  <c r="BF29" i="4"/>
  <c r="BF27" i="4"/>
  <c r="BF28" i="4"/>
  <c r="BC29" i="4"/>
  <c r="BC28" i="4"/>
  <c r="BC27" i="4" s="1"/>
  <c r="AC29" i="4"/>
  <c r="M29" i="4"/>
  <c r="I29" i="4"/>
  <c r="F29" i="4"/>
  <c r="AU31" i="4"/>
  <c r="BF44" i="4"/>
  <c r="BF46" i="4" s="1"/>
  <c r="BC44" i="4"/>
  <c r="BH21" i="4"/>
  <c r="BF21" i="4"/>
  <c r="BH14" i="4"/>
  <c r="BF14" i="4"/>
  <c r="BC46" i="4" l="1"/>
  <c r="BE21" i="4"/>
  <c r="BC21" i="4"/>
  <c r="BC14" i="4"/>
  <c r="BE14" i="4"/>
  <c r="BB21" i="4" l="1"/>
  <c r="AZ21" i="4"/>
  <c r="AZ46" i="4" l="1"/>
  <c r="BB14" i="4"/>
  <c r="AZ14" i="4"/>
  <c r="AJ31" i="4" l="1"/>
  <c r="AB31" i="4"/>
  <c r="AT29" i="4" l="1"/>
  <c r="AU28" i="4"/>
  <c r="AT28" i="4"/>
  <c r="AU27" i="4"/>
  <c r="AT27" i="4"/>
  <c r="AW46" i="4" l="1"/>
  <c r="AY21" i="4"/>
  <c r="AW21" i="4"/>
  <c r="AY14" i="4"/>
  <c r="AW14" i="4"/>
  <c r="AT44" i="4" l="1"/>
  <c r="AT46" i="4" s="1"/>
  <c r="AV21" i="4" l="1"/>
  <c r="AT21" i="4"/>
  <c r="AM27" i="4"/>
  <c r="AV14" i="4" l="1"/>
  <c r="AT14" i="4"/>
  <c r="AL27" i="4" l="1"/>
  <c r="AL46" i="4" l="1"/>
  <c r="AI46" i="4" l="1"/>
  <c r="AL29" i="4" l="1"/>
  <c r="AN21" i="4" l="1"/>
  <c r="AL21" i="4"/>
  <c r="AN14" i="4"/>
  <c r="AL14" i="4"/>
  <c r="S12" i="4" l="1"/>
  <c r="O12" i="4"/>
  <c r="G12" i="4"/>
  <c r="L12" i="4" s="1"/>
  <c r="AR4" i="4" l="1"/>
  <c r="AS4" i="4" s="1"/>
  <c r="AQ4" i="4"/>
  <c r="AF46" i="4" l="1"/>
  <c r="AK21" i="4"/>
  <c r="AI21" i="4"/>
  <c r="AK14" i="4"/>
  <c r="AI14" i="4"/>
  <c r="AD28" i="4" l="1"/>
  <c r="AD27" i="4"/>
  <c r="AC27" i="4"/>
  <c r="AC28" i="4" s="1"/>
  <c r="AH21" i="4" l="1"/>
  <c r="AF21" i="4"/>
  <c r="AF14" i="4"/>
  <c r="AH14" i="4"/>
  <c r="AC46" i="4" l="1"/>
  <c r="Z46" i="4"/>
  <c r="W46" i="4"/>
  <c r="T46" i="4"/>
  <c r="H46" i="4"/>
  <c r="I46" i="4"/>
  <c r="AE21" i="4" l="1"/>
  <c r="Y27" i="4" l="1"/>
  <c r="Z27" i="4"/>
  <c r="Y29" i="4" s="1"/>
  <c r="AC14" i="4"/>
  <c r="AE14" i="4"/>
  <c r="AC21" i="4"/>
  <c r="AB8" i="4" l="1"/>
  <c r="Y21" i="4" l="1"/>
  <c r="W21" i="4"/>
  <c r="W14" i="4"/>
  <c r="Y8" i="4"/>
  <c r="Y14" i="4" s="1"/>
  <c r="V8" i="4" l="1"/>
  <c r="V21" i="4" l="1"/>
  <c r="T21" i="4"/>
  <c r="V14" i="4"/>
  <c r="T14" i="4"/>
  <c r="Z14" i="4"/>
  <c r="AB14" i="4"/>
  <c r="Q14" i="4"/>
  <c r="P14" i="4"/>
  <c r="AB21" i="4"/>
  <c r="Z21" i="4"/>
  <c r="S4" i="4"/>
  <c r="S8" i="4"/>
  <c r="S9" i="4"/>
  <c r="S13" i="4"/>
  <c r="O9" i="4"/>
  <c r="S20" i="4"/>
  <c r="S19" i="4"/>
  <c r="O20" i="4"/>
  <c r="O19" i="4"/>
  <c r="N21" i="4"/>
  <c r="M21" i="4"/>
  <c r="O13" i="4"/>
  <c r="O11" i="4"/>
  <c r="P44" i="4"/>
  <c r="P46" i="4" s="1"/>
  <c r="M44" i="4"/>
  <c r="N6" i="4"/>
  <c r="O6" i="4" s="1"/>
  <c r="M6" i="4"/>
  <c r="M14" i="4" s="1"/>
  <c r="N10" i="4"/>
  <c r="S10" i="4" s="1"/>
  <c r="O8" i="4"/>
  <c r="O4" i="4"/>
  <c r="K28" i="4"/>
  <c r="K27" i="4"/>
  <c r="K26" i="4"/>
  <c r="K20" i="4"/>
  <c r="K19" i="4"/>
  <c r="K6" i="4"/>
  <c r="K5" i="4"/>
  <c r="K4" i="4"/>
  <c r="G14" i="4"/>
  <c r="L28" i="4"/>
  <c r="L27" i="4"/>
  <c r="L26" i="4"/>
  <c r="F7" i="4"/>
  <c r="F14" i="4" s="1"/>
  <c r="I7" i="4"/>
  <c r="I14" i="4" s="1"/>
  <c r="L9" i="4"/>
  <c r="L6" i="4"/>
  <c r="J14" i="4"/>
  <c r="L19" i="4"/>
  <c r="J21" i="4"/>
  <c r="I21" i="4"/>
  <c r="G21" i="4"/>
  <c r="F21" i="4"/>
  <c r="L20" i="4"/>
  <c r="L11" i="4"/>
  <c r="L4" i="4"/>
  <c r="L8" i="4"/>
  <c r="L25" i="1"/>
  <c r="K25" i="1"/>
  <c r="M24" i="1"/>
  <c r="M23" i="1"/>
  <c r="K20" i="1"/>
  <c r="M19" i="1"/>
  <c r="M18" i="1"/>
  <c r="M17" i="1"/>
  <c r="M16" i="1"/>
  <c r="M15" i="1"/>
  <c r="M14" i="1"/>
  <c r="M13" i="1"/>
  <c r="M12" i="1"/>
  <c r="M11" i="1"/>
  <c r="M10" i="1"/>
  <c r="M9" i="1"/>
  <c r="L7" i="1"/>
  <c r="L6" i="1"/>
  <c r="M5" i="1"/>
  <c r="M4" i="1"/>
  <c r="J24" i="1"/>
  <c r="J23" i="1"/>
  <c r="J5" i="1"/>
  <c r="J9" i="1"/>
  <c r="J10" i="1"/>
  <c r="J11" i="1"/>
  <c r="J12" i="1"/>
  <c r="J13" i="1"/>
  <c r="J14" i="1"/>
  <c r="J15" i="1"/>
  <c r="J16" i="1"/>
  <c r="J17" i="1"/>
  <c r="J18" i="1"/>
  <c r="J4" i="1"/>
  <c r="E20" i="1"/>
  <c r="I25" i="1"/>
  <c r="H25" i="1"/>
  <c r="F25" i="1"/>
  <c r="E25" i="1"/>
  <c r="H20" i="1"/>
  <c r="F19" i="1"/>
  <c r="J19" i="1" s="1"/>
  <c r="I7" i="1"/>
  <c r="F7" i="1"/>
  <c r="I6" i="1"/>
  <c r="F6" i="1"/>
  <c r="L10" i="4"/>
  <c r="P21" i="4"/>
  <c r="Q21" i="4"/>
  <c r="K26" i="1" l="1"/>
  <c r="J25" i="1"/>
  <c r="L20" i="1"/>
  <c r="L26" i="1" s="1"/>
  <c r="F20" i="1"/>
  <c r="F26" i="1" s="1"/>
  <c r="E26" i="1"/>
  <c r="O21" i="4"/>
  <c r="M7" i="1"/>
  <c r="I20" i="1"/>
  <c r="J7" i="1"/>
  <c r="M25" i="1"/>
  <c r="L14" i="4"/>
  <c r="L21" i="4"/>
  <c r="K14" i="4"/>
  <c r="M46" i="4"/>
  <c r="S21" i="4"/>
  <c r="H26" i="1"/>
  <c r="R21" i="4"/>
  <c r="K21" i="4"/>
  <c r="O10" i="4"/>
  <c r="L13" i="4"/>
  <c r="N14" i="4"/>
  <c r="O14" i="4" s="1"/>
  <c r="K7" i="4"/>
  <c r="S6" i="4"/>
  <c r="I26" i="1"/>
  <c r="J6" i="1"/>
  <c r="M6" i="1"/>
  <c r="M20" i="1" l="1"/>
  <c r="J26" i="1"/>
  <c r="J20" i="1"/>
  <c r="M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Lindsay Adams</author>
    <author>kwilhel1</author>
    <author>admin</author>
    <author>Kim Hartley</author>
  </authors>
  <commentList>
    <comment ref="BL4" authorId="0" shapeId="0" xr:uid="{E34A707D-3ADB-4C8B-9C5C-190DFA4458EC}">
      <text>
        <r>
          <rPr>
            <b/>
            <sz val="9"/>
            <color indexed="81"/>
            <rFont val="Tahoma"/>
            <family val="2"/>
          </rPr>
          <t>Lindsay Adams:</t>
        </r>
        <r>
          <rPr>
            <sz val="9"/>
            <color indexed="81"/>
            <rFont val="Tahoma"/>
            <family val="2"/>
          </rPr>
          <t xml:space="preserve">
$899M budget load to J.170.24.4000
$269M budget load to C.160.20.0006
$302M budget load to C.650.25.1001
$164M budget load to C.130.21.0002</t>
        </r>
      </text>
    </comment>
    <comment ref="W7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kwilhel1: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as of 11/30/12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contains CAPP PO line items per Charlene K's report</t>
        </r>
      </text>
    </comment>
    <comment ref="Y8" authorId="2" shapeId="0" xr:uid="{00000000-0006-0000-01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CAPP PO #'s from Charlene K's report, projected FY13 based on actual FYTD</t>
        </r>
      </text>
    </comment>
    <comment ref="AB8" authorId="2" shapeId="0" xr:uid="{00000000-0006-0000-01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CAPP PO #'s from Charlene K's report, projected FY13 based on actual FYTD; emailed CK 12-4-13 for FYTD14 info. KH  Emailed 2nd time 12/16/13. KH</t>
        </r>
      </text>
    </comment>
    <comment ref="AE8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CAPP PO #'s from Charlene K's report, projected FY15 based on actual FYTD; emailed CK 12-5-14 for FYTD15 info. </t>
        </r>
      </text>
    </comment>
    <comment ref="AO8" authorId="3" shapeId="0" xr:uid="{00000000-0006-0000-0100-000006000000}">
      <text>
        <r>
          <rPr>
            <b/>
            <sz val="9"/>
            <color indexed="81"/>
            <rFont val="Tahoma"/>
            <family val="2"/>
          </rPr>
          <t>Kim Hartley:</t>
        </r>
        <r>
          <rPr>
            <sz val="9"/>
            <color indexed="81"/>
            <rFont val="Tahoma"/>
            <family val="2"/>
          </rPr>
          <t xml:space="preserve">
based on actual as of ,4/30/18, projected through 6/30/18</t>
        </r>
      </text>
    </comment>
  </commentList>
</comments>
</file>

<file path=xl/sharedStrings.xml><?xml version="1.0" encoding="utf-8"?>
<sst xmlns="http://schemas.openxmlformats.org/spreadsheetml/2006/main" count="529" uniqueCount="123">
  <si>
    <t xml:space="preserve">Summary of Activity </t>
  </si>
  <si>
    <t>FY07</t>
  </si>
  <si>
    <t>FY08</t>
  </si>
  <si>
    <t>FY09</t>
  </si>
  <si>
    <t>Number</t>
  </si>
  <si>
    <t>Amount</t>
  </si>
  <si>
    <t>Shopping Cart Line Items</t>
  </si>
  <si>
    <t>N/A</t>
  </si>
  <si>
    <t>Budget Changes</t>
  </si>
  <si>
    <t xml:space="preserve">% change from prior year </t>
  </si>
  <si>
    <t>Capp vs. ECPO Investigated</t>
  </si>
  <si>
    <t>Capp vs. ECPO Conversions</t>
  </si>
  <si>
    <t>Average number of open projects</t>
  </si>
  <si>
    <t>Number of assets placed into service</t>
  </si>
  <si>
    <t xml:space="preserve">     CJ20N - Project Change</t>
  </si>
  <si>
    <t xml:space="preserve">     ABAVN - Asset Scrapped Retirements</t>
  </si>
  <si>
    <t xml:space="preserve">     AS01 - Number of Asset Shells Created</t>
  </si>
  <si>
    <t xml:space="preserve">     AS02 - Number of Asset Changes</t>
  </si>
  <si>
    <t xml:space="preserve">     ABNAN - Number of Post Cap Assets</t>
  </si>
  <si>
    <t xml:space="preserve">     CN43N - Project Master Data Inquiry</t>
  </si>
  <si>
    <t xml:space="preserve">     CJ88 - Number of Nodes for Settlements</t>
  </si>
  <si>
    <t xml:space="preserve">     Number of Journal Entry Uploads</t>
  </si>
  <si>
    <t>Non cost payroll transfers line items approved</t>
  </si>
  <si>
    <t>Number of emails received into FASSC mailbox</t>
  </si>
  <si>
    <t xml:space="preserve">            Total</t>
  </si>
  <si>
    <t xml:space="preserve">Inventory Activity </t>
  </si>
  <si>
    <t>Grand Totals</t>
  </si>
  <si>
    <t xml:space="preserve">            Total Inventory</t>
  </si>
  <si>
    <t xml:space="preserve">             -----</t>
  </si>
  <si>
    <t>Number of FASSC SAP Transactions:</t>
  </si>
  <si>
    <t>Non cost payroll transfers completed</t>
  </si>
  <si>
    <t xml:space="preserve">FY10 (projected) </t>
  </si>
  <si>
    <t>-</t>
  </si>
  <si>
    <t>Budget assigned to new projects</t>
  </si>
  <si>
    <t xml:space="preserve">Number of new projects opened </t>
  </si>
  <si>
    <t>Total Verified</t>
  </si>
  <si>
    <t>NOTE: FY08 FASSC SAP transactions data was not available from security; data is purged monthly</t>
  </si>
  <si>
    <t>FY07-FY08 Inventory Data</t>
  </si>
  <si>
    <t>FY09-FY10 Inventory Data</t>
  </si>
  <si>
    <t>% change from prior year (amount)</t>
  </si>
  <si>
    <t>% change from prior year (number)</t>
  </si>
  <si>
    <t>NOTE: The Johns Hopkins University Capital-Asset Inventory is conducted during a two-year cycle in accordance with OMB Circular A-110. Therefore, data is not broken down into individual fiscal years.</t>
  </si>
  <si>
    <t>Physical Inventory</t>
  </si>
  <si>
    <t>Transaction Count</t>
  </si>
  <si>
    <t>FY10</t>
  </si>
  <si>
    <t xml:space="preserve">FY11 </t>
  </si>
  <si>
    <t xml:space="preserve">FY12 </t>
  </si>
  <si>
    <t>Annualized</t>
  </si>
  <si>
    <t>*</t>
  </si>
  <si>
    <t>FY11-FY12 Inventory Data</t>
  </si>
  <si>
    <t xml:space="preserve">     CJ20N - Project Change*</t>
  </si>
  <si>
    <t xml:space="preserve">     ABAVN - Asset Scrapped Retirements*</t>
  </si>
  <si>
    <t xml:space="preserve">     AS02 - Number of Asset Changes*</t>
  </si>
  <si>
    <t xml:space="preserve">     ABNAN - Number of Post Cap Assets*</t>
  </si>
  <si>
    <t xml:space="preserve">     CN43N - Project Master Data Inquiry*</t>
  </si>
  <si>
    <t xml:space="preserve">     CJ88 - Number of Nodes for Settlements*</t>
  </si>
  <si>
    <t xml:space="preserve">     Number of Journal Entries*</t>
  </si>
  <si>
    <t xml:space="preserve">FY13 </t>
  </si>
  <si>
    <t>FY14</t>
  </si>
  <si>
    <t>FY13-FY14 Inventory Data</t>
  </si>
  <si>
    <t>Capp vs. ECPO Investigated+</t>
  </si>
  <si>
    <t>+increased # g/l accounts to monthly review</t>
  </si>
  <si>
    <t>CIP Trend (excludes NCB and New Sibley)</t>
  </si>
  <si>
    <t>n/a</t>
  </si>
  <si>
    <t>CY15</t>
  </si>
  <si>
    <t>CY14</t>
  </si>
  <si>
    <t>CY13</t>
  </si>
  <si>
    <t>CY12</t>
  </si>
  <si>
    <t>CY11</t>
  </si>
  <si>
    <t xml:space="preserve">CY10 </t>
  </si>
  <si>
    <t>CY09</t>
  </si>
  <si>
    <t>Number of FASSC SAP Transactions (only affiliates utilizing SAP):</t>
  </si>
  <si>
    <t>FY15</t>
  </si>
  <si>
    <t xml:space="preserve">FY16 </t>
  </si>
  <si>
    <t>FY15-FY16 Inventory Data</t>
  </si>
  <si>
    <t>Amount (NBV)</t>
  </si>
  <si>
    <t>FY16</t>
  </si>
  <si>
    <t>CY16</t>
  </si>
  <si>
    <t>JM</t>
  </si>
  <si>
    <t>KD/MR</t>
  </si>
  <si>
    <t xml:space="preserve">              FY08 - FY12 statistics hidden from view</t>
  </si>
  <si>
    <t>Hours Xtra</t>
  </si>
  <si>
    <t>Per Month</t>
  </si>
  <si>
    <t>Per Week</t>
  </si>
  <si>
    <t>Number of Close-Outs received into FASSC mailbox</t>
  </si>
  <si>
    <t>FY17</t>
  </si>
  <si>
    <t xml:space="preserve"> CY17</t>
  </si>
  <si>
    <t>LA</t>
  </si>
  <si>
    <t>actual</t>
  </si>
  <si>
    <t>beginning of cycle actual at 7/1/16</t>
  </si>
  <si>
    <t xml:space="preserve">FY18 </t>
  </si>
  <si>
    <t>FY18</t>
  </si>
  <si>
    <t>KH, FY18 ACTUAL</t>
  </si>
  <si>
    <t>Found</t>
  </si>
  <si>
    <t>actual through 6/30/18, includes equipment only</t>
  </si>
  <si>
    <t>KH</t>
  </si>
  <si>
    <t>CY18</t>
  </si>
  <si>
    <t>FY19</t>
  </si>
  <si>
    <t>JHU Records Disposed/Retired (in 651913), #'s and $'s include all asset classes</t>
  </si>
  <si>
    <t>FY20</t>
  </si>
  <si>
    <t>CY19</t>
  </si>
  <si>
    <t>CY20</t>
  </si>
  <si>
    <t>CY21</t>
  </si>
  <si>
    <t>Shopping Cart Line Items*</t>
  </si>
  <si>
    <t>FY21</t>
  </si>
  <si>
    <t>CY22</t>
  </si>
  <si>
    <t>FY22</t>
  </si>
  <si>
    <t>FY23</t>
  </si>
  <si>
    <t>CY23</t>
  </si>
  <si>
    <t>FY21-22 Inventory Data</t>
  </si>
  <si>
    <t>FY23-24 Inventory Data</t>
  </si>
  <si>
    <t>FY17-FY18 Inventory Data</t>
  </si>
  <si>
    <t>FY19-FY20 Inventory Data*</t>
  </si>
  <si>
    <t>*COVID CYCLE</t>
  </si>
  <si>
    <t>CY24</t>
  </si>
  <si>
    <t>FY24</t>
  </si>
  <si>
    <t>FY25</t>
  </si>
  <si>
    <t>BM</t>
  </si>
  <si>
    <t>CY25</t>
  </si>
  <si>
    <t>FY25-26 Inventory Data*</t>
  </si>
  <si>
    <t>*INVENTORY CYCLE CURRENTLY ONGOING UNTIL 6/30/26</t>
  </si>
  <si>
    <t>TOTAL Assets at start of cycle* MAJOR MOVEABLE ONLY</t>
  </si>
  <si>
    <t>*JHHCG AND JHHS NOT INCLUDED, THEY NO LONGER USE CAPP SC DOC TYPES. (INCLUDES LEAS &amp; CAPP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</si>
</sst>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9" applyNumberFormat="0" applyAlignment="0" applyProtection="0"/>
    <xf numFmtId="0" fontId="23" fillId="6" borderId="20" applyNumberFormat="0" applyAlignment="0" applyProtection="0"/>
    <xf numFmtId="0" fontId="24" fillId="6" borderId="19" applyNumberFormat="0" applyAlignment="0" applyProtection="0"/>
    <xf numFmtId="0" fontId="25" fillId="0" borderId="21" applyNumberFormat="0" applyFill="0" applyAlignment="0" applyProtection="0"/>
    <xf numFmtId="0" fontId="26" fillId="7" borderId="22" applyNumberFormat="0" applyAlignment="0" applyProtection="0"/>
    <xf numFmtId="0" fontId="27" fillId="0" borderId="0" applyNumberFormat="0" applyFill="0" applyBorder="0" applyAlignment="0" applyProtection="0"/>
    <xf numFmtId="0" fontId="1" fillId="8" borderId="23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30" fillId="0" borderId="0"/>
    <xf numFmtId="0" fontId="31" fillId="0" borderId="0"/>
  </cellStyleXfs>
  <cellXfs count="352">
    <xf numFmtId="0" fontId="0" fillId="0" borderId="0" xfId="0"/>
    <xf numFmtId="0" fontId="0" fillId="0" borderId="1" xfId="0" applyBorder="1"/>
    <xf numFmtId="164" fontId="1" fillId="0" borderId="0" xfId="1" applyNumberFormat="1" applyFont="1"/>
    <xf numFmtId="164" fontId="1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1" fillId="0" borderId="1" xfId="1" applyNumberFormat="1" applyFont="1" applyBorder="1"/>
    <xf numFmtId="0" fontId="0" fillId="0" borderId="1" xfId="0" applyFill="1" applyBorder="1"/>
    <xf numFmtId="0" fontId="2" fillId="0" borderId="0" xfId="0" applyFont="1"/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9" fontId="2" fillId="0" borderId="1" xfId="3" applyFont="1" applyBorder="1" applyAlignment="1">
      <alignment horizontal="center" vertical="center" wrapText="1"/>
    </xf>
    <xf numFmtId="9" fontId="1" fillId="0" borderId="0" xfId="3" applyFont="1"/>
    <xf numFmtId="164" fontId="2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Fill="1" applyBorder="1"/>
    <xf numFmtId="9" fontId="2" fillId="0" borderId="1" xfId="3" applyNumberFormat="1" applyFont="1" applyBorder="1" applyAlignment="1">
      <alignment horizontal="center" vertical="center" wrapText="1"/>
    </xf>
    <xf numFmtId="9" fontId="1" fillId="0" borderId="0" xfId="3" applyNumberFormat="1" applyFont="1"/>
    <xf numFmtId="164" fontId="1" fillId="0" borderId="1" xfId="1" applyNumberFormat="1" applyFont="1" applyFill="1" applyBorder="1" applyAlignment="1">
      <alignment horizontal="right"/>
    </xf>
    <xf numFmtId="9" fontId="1" fillId="0" borderId="1" xfId="3" applyFont="1" applyFill="1" applyBorder="1"/>
    <xf numFmtId="9" fontId="1" fillId="0" borderId="1" xfId="3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/>
    </xf>
    <xf numFmtId="9" fontId="2" fillId="0" borderId="2" xfId="3" applyFont="1" applyBorder="1" applyAlignment="1">
      <alignment horizontal="center" vertical="center" wrapText="1"/>
    </xf>
    <xf numFmtId="9" fontId="2" fillId="0" borderId="2" xfId="3" applyNumberFormat="1" applyFont="1" applyBorder="1" applyAlignment="1">
      <alignment horizontal="center" vertical="center" wrapText="1"/>
    </xf>
    <xf numFmtId="0" fontId="0" fillId="0" borderId="3" xfId="0" applyFill="1" applyBorder="1"/>
    <xf numFmtId="164" fontId="1" fillId="0" borderId="4" xfId="1" applyNumberFormat="1" applyFont="1" applyBorder="1"/>
    <xf numFmtId="0" fontId="0" fillId="0" borderId="4" xfId="0" applyBorder="1"/>
    <xf numFmtId="9" fontId="1" fillId="0" borderId="4" xfId="3" applyFont="1" applyBorder="1"/>
    <xf numFmtId="9" fontId="1" fillId="0" borderId="4" xfId="3" applyNumberFormat="1" applyFont="1" applyBorder="1"/>
    <xf numFmtId="0" fontId="2" fillId="0" borderId="5" xfId="0" applyFont="1" applyBorder="1" applyAlignment="1">
      <alignment horizontal="left"/>
    </xf>
    <xf numFmtId="164" fontId="2" fillId="0" borderId="5" xfId="1" applyNumberFormat="1" applyFont="1" applyBorder="1"/>
    <xf numFmtId="0" fontId="2" fillId="0" borderId="5" xfId="0" applyFont="1" applyBorder="1"/>
    <xf numFmtId="9" fontId="2" fillId="0" borderId="5" xfId="3" applyFont="1" applyBorder="1"/>
    <xf numFmtId="0" fontId="4" fillId="0" borderId="6" xfId="0" applyFont="1" applyFill="1" applyBorder="1"/>
    <xf numFmtId="164" fontId="2" fillId="0" borderId="6" xfId="1" applyNumberFormat="1" applyFont="1" applyBorder="1"/>
    <xf numFmtId="0" fontId="2" fillId="0" borderId="6" xfId="0" applyFont="1" applyBorder="1"/>
    <xf numFmtId="165" fontId="2" fillId="0" borderId="1" xfId="2" applyNumberFormat="1" applyFont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right"/>
    </xf>
    <xf numFmtId="165" fontId="1" fillId="0" borderId="1" xfId="2" applyNumberFormat="1" applyFont="1" applyFill="1" applyBorder="1"/>
    <xf numFmtId="165" fontId="2" fillId="0" borderId="5" xfId="2" applyNumberFormat="1" applyFont="1" applyBorder="1"/>
    <xf numFmtId="165" fontId="1" fillId="0" borderId="4" xfId="2" applyNumberFormat="1" applyFont="1" applyBorder="1"/>
    <xf numFmtId="165" fontId="2" fillId="0" borderId="2" xfId="2" applyNumberFormat="1" applyFont="1" applyBorder="1" applyAlignment="1">
      <alignment horizontal="center" vertical="center" wrapText="1"/>
    </xf>
    <xf numFmtId="165" fontId="2" fillId="0" borderId="6" xfId="2" applyNumberFormat="1" applyFont="1" applyBorder="1"/>
    <xf numFmtId="165" fontId="1" fillId="0" borderId="0" xfId="2" applyNumberFormat="1" applyFont="1"/>
    <xf numFmtId="165" fontId="1" fillId="0" borderId="7" xfId="2" applyNumberFormat="1" applyFont="1" applyFill="1" applyBorder="1" applyAlignment="1">
      <alignment horizontal="right"/>
    </xf>
    <xf numFmtId="10" fontId="1" fillId="0" borderId="1" xfId="3" applyNumberFormat="1" applyFont="1" applyFill="1" applyBorder="1"/>
    <xf numFmtId="10" fontId="1" fillId="0" borderId="5" xfId="3" applyNumberFormat="1" applyFont="1" applyFill="1" applyBorder="1"/>
    <xf numFmtId="165" fontId="2" fillId="0" borderId="5" xfId="2" applyNumberFormat="1" applyFont="1" applyFill="1" applyBorder="1"/>
    <xf numFmtId="164" fontId="2" fillId="0" borderId="5" xfId="1" applyNumberFormat="1" applyFont="1" applyFill="1" applyBorder="1"/>
    <xf numFmtId="9" fontId="2" fillId="0" borderId="5" xfId="3" applyFont="1" applyFill="1" applyBorder="1"/>
    <xf numFmtId="165" fontId="2" fillId="0" borderId="2" xfId="2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9" fontId="2" fillId="0" borderId="2" xfId="3" applyFont="1" applyFill="1" applyBorder="1" applyAlignment="1">
      <alignment horizontal="center" vertical="center" wrapText="1"/>
    </xf>
    <xf numFmtId="10" fontId="1" fillId="0" borderId="3" xfId="3" applyNumberFormat="1" applyFont="1" applyFill="1" applyBorder="1"/>
    <xf numFmtId="9" fontId="1" fillId="0" borderId="2" xfId="3" applyFont="1" applyFill="1" applyBorder="1" applyAlignment="1">
      <alignment horizontal="right"/>
    </xf>
    <xf numFmtId="165" fontId="1" fillId="0" borderId="0" xfId="2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>
      <alignment horizontal="right"/>
    </xf>
    <xf numFmtId="9" fontId="1" fillId="0" borderId="0" xfId="3" applyFont="1" applyFill="1" applyBorder="1" applyAlignment="1">
      <alignment horizontal="right"/>
    </xf>
    <xf numFmtId="164" fontId="1" fillId="0" borderId="0" xfId="1" applyNumberFormat="1" applyFont="1" applyFill="1" applyBorder="1"/>
    <xf numFmtId="10" fontId="1" fillId="0" borderId="0" xfId="3" applyNumberFormat="1" applyFont="1" applyFill="1" applyBorder="1"/>
    <xf numFmtId="0" fontId="0" fillId="0" borderId="0" xfId="0" applyFill="1" applyBorder="1"/>
    <xf numFmtId="165" fontId="1" fillId="0" borderId="0" xfId="2" quotePrefix="1" applyNumberFormat="1" applyFont="1" applyFill="1" applyBorder="1" applyAlignment="1">
      <alignment horizontal="right"/>
    </xf>
    <xf numFmtId="0" fontId="2" fillId="0" borderId="1" xfId="0" applyFont="1" applyFill="1" applyBorder="1"/>
    <xf numFmtId="165" fontId="2" fillId="0" borderId="0" xfId="2" applyNumberFormat="1" applyFont="1" applyFill="1" applyBorder="1"/>
    <xf numFmtId="10" fontId="2" fillId="0" borderId="5" xfId="3" applyNumberFormat="1" applyFont="1" applyFill="1" applyBorder="1"/>
    <xf numFmtId="9" fontId="2" fillId="0" borderId="0" xfId="3" applyFont="1" applyFill="1" applyBorder="1"/>
    <xf numFmtId="10" fontId="2" fillId="0" borderId="0" xfId="3" applyNumberFormat="1" applyFont="1" applyFill="1" applyBorder="1"/>
    <xf numFmtId="165" fontId="1" fillId="0" borderId="1" xfId="2" applyNumberFormat="1" applyFont="1" applyFill="1" applyBorder="1"/>
    <xf numFmtId="165" fontId="1" fillId="0" borderId="1" xfId="2" applyNumberFormat="1" applyFont="1" applyFill="1" applyBorder="1" applyAlignment="1">
      <alignment horizontal="right"/>
    </xf>
    <xf numFmtId="0" fontId="5" fillId="0" borderId="0" xfId="0" applyFont="1" applyFill="1" applyBorder="1"/>
    <xf numFmtId="164" fontId="2" fillId="0" borderId="0" xfId="1" applyNumberFormat="1" applyFont="1" applyFill="1" applyBorder="1"/>
    <xf numFmtId="165" fontId="1" fillId="0" borderId="1" xfId="2" quotePrefix="1" applyNumberFormat="1" applyFont="1" applyFill="1" applyBorder="1" applyAlignment="1">
      <alignment horizontal="right"/>
    </xf>
    <xf numFmtId="0" fontId="2" fillId="0" borderId="2" xfId="0" applyFont="1" applyFill="1" applyBorder="1"/>
    <xf numFmtId="9" fontId="1" fillId="0" borderId="0" xfId="3" applyNumberFormat="1" applyFont="1" applyFill="1"/>
    <xf numFmtId="10" fontId="1" fillId="0" borderId="11" xfId="3" applyNumberFormat="1" applyFont="1" applyFill="1" applyBorder="1"/>
    <xf numFmtId="10" fontId="1" fillId="0" borderId="7" xfId="3" applyNumberFormat="1" applyFont="1" applyFill="1" applyBorder="1"/>
    <xf numFmtId="41" fontId="1" fillId="0" borderId="1" xfId="2" quotePrefix="1" applyNumberFormat="1" applyFont="1" applyFill="1" applyBorder="1" applyAlignment="1">
      <alignment horizontal="right"/>
    </xf>
    <xf numFmtId="164" fontId="1" fillId="0" borderId="2" xfId="1" applyNumberFormat="1" applyFont="1" applyFill="1" applyBorder="1"/>
    <xf numFmtId="0" fontId="0" fillId="0" borderId="0" xfId="0" applyFill="1"/>
    <xf numFmtId="164" fontId="1" fillId="0" borderId="0" xfId="1" applyNumberFormat="1" applyFont="1" applyFill="1"/>
    <xf numFmtId="165" fontId="1" fillId="0" borderId="0" xfId="2" applyNumberFormat="1" applyFont="1" applyFill="1"/>
    <xf numFmtId="9" fontId="1" fillId="0" borderId="0" xfId="3" applyFont="1" applyFill="1"/>
    <xf numFmtId="164" fontId="2" fillId="0" borderId="10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9" fontId="2" fillId="0" borderId="1" xfId="3" applyFont="1" applyFill="1" applyBorder="1" applyAlignment="1">
      <alignment horizontal="center" vertical="center" wrapText="1"/>
    </xf>
    <xf numFmtId="9" fontId="2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2" xfId="0" applyFill="1" applyBorder="1"/>
    <xf numFmtId="0" fontId="0" fillId="0" borderId="1" xfId="0" applyFill="1" applyBorder="1" applyAlignment="1">
      <alignment horizontal="right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164" fontId="2" fillId="0" borderId="1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6" xfId="1" applyNumberFormat="1" applyFont="1" applyFill="1" applyBorder="1"/>
    <xf numFmtId="0" fontId="2" fillId="0" borderId="6" xfId="0" applyFont="1" applyFill="1" applyBorder="1"/>
    <xf numFmtId="165" fontId="2" fillId="0" borderId="6" xfId="2" applyNumberFormat="1" applyFont="1" applyFill="1" applyBorder="1"/>
    <xf numFmtId="164" fontId="2" fillId="0" borderId="3" xfId="1" applyNumberFormat="1" applyFont="1" applyFill="1" applyBorder="1"/>
    <xf numFmtId="164" fontId="1" fillId="0" borderId="9" xfId="1" applyNumberFormat="1" applyFont="1" applyFill="1" applyBorder="1"/>
    <xf numFmtId="0" fontId="0" fillId="0" borderId="9" xfId="0" applyFill="1" applyBorder="1"/>
    <xf numFmtId="9" fontId="1" fillId="0" borderId="9" xfId="3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9" fontId="1" fillId="0" borderId="7" xfId="3" applyFont="1" applyFill="1" applyBorder="1"/>
    <xf numFmtId="164" fontId="1" fillId="0" borderId="10" xfId="1" applyNumberFormat="1" applyFont="1" applyFill="1" applyBorder="1"/>
    <xf numFmtId="164" fontId="1" fillId="0" borderId="11" xfId="1" applyNumberFormat="1" applyFont="1" applyFill="1" applyBorder="1"/>
    <xf numFmtId="0" fontId="0" fillId="0" borderId="11" xfId="0" applyFill="1" applyBorder="1"/>
    <xf numFmtId="0" fontId="5" fillId="0" borderId="0" xfId="0" applyFont="1" applyFill="1"/>
    <xf numFmtId="164" fontId="1" fillId="0" borderId="8" xfId="1" applyNumberFormat="1" applyFont="1" applyFill="1" applyBorder="1"/>
    <xf numFmtId="0" fontId="0" fillId="0" borderId="8" xfId="0" applyFill="1" applyBorder="1"/>
    <xf numFmtId="165" fontId="1" fillId="0" borderId="8" xfId="2" applyNumberFormat="1" applyFont="1" applyFill="1" applyBorder="1"/>
    <xf numFmtId="165" fontId="1" fillId="0" borderId="0" xfId="2" applyNumberFormat="1" applyFont="1" applyFill="1" applyBorder="1"/>
    <xf numFmtId="9" fontId="1" fillId="0" borderId="0" xfId="3" applyNumberFormat="1" applyFont="1" applyFill="1" applyBorder="1"/>
    <xf numFmtId="9" fontId="2" fillId="0" borderId="0" xfId="3" applyFont="1" applyFill="1" applyBorder="1" applyAlignment="1">
      <alignment horizontal="center"/>
    </xf>
    <xf numFmtId="9" fontId="1" fillId="0" borderId="0" xfId="3" applyFont="1" applyFill="1" applyBorder="1"/>
    <xf numFmtId="164" fontId="2" fillId="0" borderId="0" xfId="1" applyNumberFormat="1" applyFont="1" applyFill="1" applyBorder="1" applyAlignment="1">
      <alignment horizontal="center" vertical="center"/>
    </xf>
    <xf numFmtId="9" fontId="2" fillId="0" borderId="0" xfId="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164" fontId="2" fillId="0" borderId="1" xfId="1" applyNumberFormat="1" applyFont="1" applyFill="1" applyBorder="1"/>
    <xf numFmtId="9" fontId="2" fillId="0" borderId="0" xfId="3" applyFont="1" applyFill="1" applyBorder="1" applyAlignment="1">
      <alignment horizontal="center"/>
    </xf>
    <xf numFmtId="9" fontId="2" fillId="0" borderId="9" xfId="3" applyNumberFormat="1" applyFont="1" applyFill="1" applyBorder="1" applyAlignment="1">
      <alignment horizontal="center" vertical="center" wrapText="1"/>
    </xf>
    <xf numFmtId="10" fontId="1" fillId="0" borderId="9" xfId="3" applyNumberFormat="1" applyFont="1" applyFill="1" applyBorder="1"/>
    <xf numFmtId="165" fontId="0" fillId="0" borderId="1" xfId="2" applyNumberFormat="1" applyFont="1" applyFill="1" applyBorder="1" applyAlignment="1">
      <alignment horizontal="center"/>
    </xf>
    <xf numFmtId="9" fontId="2" fillId="0" borderId="0" xfId="3" applyFont="1" applyFill="1" applyBorder="1" applyAlignment="1">
      <alignment horizontal="center"/>
    </xf>
    <xf numFmtId="165" fontId="13" fillId="0" borderId="1" xfId="2" applyNumberFormat="1" applyFont="1" applyFill="1" applyBorder="1"/>
    <xf numFmtId="165" fontId="13" fillId="0" borderId="1" xfId="2" quotePrefix="1" applyNumberFormat="1" applyFont="1" applyFill="1" applyBorder="1" applyAlignment="1">
      <alignment horizontal="right"/>
    </xf>
    <xf numFmtId="41" fontId="13" fillId="0" borderId="1" xfId="2" quotePrefix="1" applyNumberFormat="1" applyFont="1" applyFill="1" applyBorder="1" applyAlignment="1">
      <alignment horizontal="right"/>
    </xf>
    <xf numFmtId="164" fontId="13" fillId="0" borderId="1" xfId="1" applyNumberFormat="1" applyFont="1" applyFill="1" applyBorder="1"/>
    <xf numFmtId="165" fontId="14" fillId="0" borderId="5" xfId="2" applyNumberFormat="1" applyFont="1" applyFill="1" applyBorder="1"/>
    <xf numFmtId="164" fontId="14" fillId="0" borderId="5" xfId="1" applyNumberFormat="1" applyFont="1" applyFill="1" applyBorder="1"/>
    <xf numFmtId="165" fontId="13" fillId="0" borderId="1" xfId="2" applyNumberFormat="1" applyFont="1" applyFill="1" applyBorder="1" applyAlignment="1">
      <alignment horizontal="center"/>
    </xf>
    <xf numFmtId="10" fontId="2" fillId="0" borderId="25" xfId="3" applyNumberFormat="1" applyFont="1" applyFill="1" applyBorder="1"/>
    <xf numFmtId="9" fontId="2" fillId="0" borderId="7" xfId="3" applyNumberFormat="1" applyFont="1" applyFill="1" applyBorder="1" applyAlignment="1">
      <alignment horizontal="center" vertical="center" wrapText="1"/>
    </xf>
    <xf numFmtId="164" fontId="2" fillId="0" borderId="34" xfId="1" applyNumberFormat="1" applyFont="1" applyFill="1" applyBorder="1"/>
    <xf numFmtId="165" fontId="1" fillId="0" borderId="31" xfId="2" applyNumberFormat="1" applyFont="1" applyFill="1" applyBorder="1"/>
    <xf numFmtId="10" fontId="2" fillId="0" borderId="35" xfId="3" applyNumberFormat="1" applyFont="1" applyFill="1" applyBorder="1"/>
    <xf numFmtId="10" fontId="1" fillId="0" borderId="32" xfId="3" applyNumberFormat="1" applyFont="1" applyFill="1" applyBorder="1"/>
    <xf numFmtId="164" fontId="2" fillId="0" borderId="30" xfId="1" applyNumberFormat="1" applyFont="1" applyFill="1" applyBorder="1" applyAlignment="1">
      <alignment horizontal="center" vertical="center"/>
    </xf>
    <xf numFmtId="165" fontId="2" fillId="0" borderId="33" xfId="2" applyNumberFormat="1" applyFont="1" applyFill="1" applyBorder="1"/>
    <xf numFmtId="9" fontId="2" fillId="0" borderId="32" xfId="3" applyNumberFormat="1" applyFont="1" applyFill="1" applyBorder="1" applyAlignment="1">
      <alignment horizontal="center" vertical="center" wrapText="1"/>
    </xf>
    <xf numFmtId="165" fontId="2" fillId="0" borderId="3" xfId="2" applyNumberFormat="1" applyFont="1" applyFill="1" applyBorder="1"/>
    <xf numFmtId="10" fontId="2" fillId="0" borderId="34" xfId="3" applyNumberFormat="1" applyFont="1" applyFill="1" applyBorder="1"/>
    <xf numFmtId="165" fontId="2" fillId="0" borderId="29" xfId="2" applyNumberFormat="1" applyFont="1" applyFill="1" applyBorder="1" applyAlignment="1">
      <alignment horizontal="center" vertical="center" wrapText="1"/>
    </xf>
    <xf numFmtId="165" fontId="1" fillId="0" borderId="0" xfId="3" applyNumberFormat="1" applyFont="1" applyFill="1" applyBorder="1"/>
    <xf numFmtId="164" fontId="1" fillId="0" borderId="32" xfId="1" applyNumberFormat="1" applyFont="1" applyFill="1" applyBorder="1"/>
    <xf numFmtId="165" fontId="2" fillId="0" borderId="34" xfId="2" applyNumberFormat="1" applyFont="1" applyFill="1" applyBorder="1"/>
    <xf numFmtId="164" fontId="2" fillId="0" borderId="35" xfId="1" applyNumberFormat="1" applyFont="1" applyFill="1" applyBorder="1"/>
    <xf numFmtId="165" fontId="13" fillId="0" borderId="1" xfId="2" applyNumberFormat="1" applyFont="1" applyFill="1" applyBorder="1" applyAlignment="1"/>
    <xf numFmtId="0" fontId="4" fillId="0" borderId="0" xfId="0" quotePrefix="1" applyFont="1" applyFill="1" applyBorder="1"/>
    <xf numFmtId="43" fontId="1" fillId="0" borderId="0" xfId="1" applyFont="1" applyFill="1" applyBorder="1"/>
    <xf numFmtId="165" fontId="13" fillId="0" borderId="1" xfId="2" applyNumberFormat="1" applyFont="1" applyFill="1" applyBorder="1"/>
    <xf numFmtId="164" fontId="0" fillId="0" borderId="1" xfId="1" applyNumberFormat="1" applyFont="1" applyFill="1" applyBorder="1" applyAlignment="1">
      <alignment horizontal="center"/>
    </xf>
    <xf numFmtId="165" fontId="2" fillId="0" borderId="38" xfId="2" applyNumberFormat="1" applyFont="1" applyFill="1" applyBorder="1"/>
    <xf numFmtId="164" fontId="2" fillId="0" borderId="39" xfId="1" applyNumberFormat="1" applyFont="1" applyFill="1" applyBorder="1"/>
    <xf numFmtId="165" fontId="1" fillId="0" borderId="0" xfId="3" applyNumberFormat="1" applyFont="1" applyFill="1"/>
    <xf numFmtId="165" fontId="1" fillId="0" borderId="7" xfId="2" applyNumberFormat="1" applyFont="1" applyFill="1" applyBorder="1"/>
    <xf numFmtId="165" fontId="13" fillId="0" borderId="7" xfId="2" applyNumberFormat="1" applyFont="1" applyFill="1" applyBorder="1" applyAlignment="1"/>
    <xf numFmtId="10" fontId="0" fillId="0" borderId="0" xfId="3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2" fillId="33" borderId="1" xfId="1" applyNumberFormat="1" applyFont="1" applyFill="1" applyBorder="1" applyAlignment="1">
      <alignment horizontal="center"/>
    </xf>
    <xf numFmtId="164" fontId="2" fillId="34" borderId="1" xfId="1" applyNumberFormat="1" applyFont="1" applyFill="1" applyBorder="1" applyAlignment="1">
      <alignment horizontal="center"/>
    </xf>
    <xf numFmtId="164" fontId="2" fillId="36" borderId="1" xfId="1" applyNumberFormat="1" applyFont="1" applyFill="1" applyBorder="1" applyAlignment="1">
      <alignment horizontal="center"/>
    </xf>
    <xf numFmtId="164" fontId="2" fillId="35" borderId="1" xfId="1" applyNumberFormat="1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164" fontId="0" fillId="0" borderId="0" xfId="0" applyNumberFormat="1" applyFill="1"/>
    <xf numFmtId="165" fontId="2" fillId="0" borderId="0" xfId="2" applyNumberFormat="1" applyFont="1" applyFill="1" applyBorder="1" applyAlignment="1">
      <alignment horizontal="center" vertical="center" wrapText="1"/>
    </xf>
    <xf numFmtId="165" fontId="13" fillId="0" borderId="0" xfId="2" applyNumberFormat="1" applyFont="1" applyFill="1" applyBorder="1" applyAlignment="1"/>
    <xf numFmtId="9" fontId="2" fillId="0" borderId="0" xfId="3" applyFont="1" applyFill="1" applyBorder="1" applyAlignment="1"/>
    <xf numFmtId="0" fontId="0" fillId="0" borderId="0" xfId="0" applyFill="1" applyBorder="1" applyAlignment="1"/>
    <xf numFmtId="9" fontId="2" fillId="37" borderId="1" xfId="3" applyFont="1" applyFill="1" applyBorder="1" applyAlignment="1">
      <alignment horizontal="center"/>
    </xf>
    <xf numFmtId="164" fontId="1" fillId="0" borderId="0" xfId="1" applyNumberFormat="1" applyFont="1" applyFill="1" applyBorder="1"/>
    <xf numFmtId="165" fontId="2" fillId="0" borderId="0" xfId="2" applyNumberFormat="1" applyFont="1" applyFill="1" applyBorder="1" applyAlignment="1">
      <alignment horizontal="center"/>
    </xf>
    <xf numFmtId="164" fontId="0" fillId="0" borderId="0" xfId="1" applyNumberFormat="1" applyFont="1" applyFill="1"/>
    <xf numFmtId="0" fontId="0" fillId="0" borderId="1" xfId="0" applyFill="1" applyBorder="1" applyAlignment="1">
      <alignment wrapText="1"/>
    </xf>
    <xf numFmtId="0" fontId="2" fillId="40" borderId="9" xfId="0" applyFont="1" applyFill="1" applyBorder="1" applyAlignment="1"/>
    <xf numFmtId="9" fontId="2" fillId="39" borderId="9" xfId="3" applyFont="1" applyFill="1" applyBorder="1" applyAlignment="1">
      <alignment horizontal="center"/>
    </xf>
    <xf numFmtId="164" fontId="2" fillId="41" borderId="7" xfId="1" applyNumberFormat="1" applyFont="1" applyFill="1" applyBorder="1" applyAlignment="1">
      <alignment horizontal="center"/>
    </xf>
    <xf numFmtId="164" fontId="2" fillId="40" borderId="1" xfId="1" applyNumberFormat="1" applyFont="1" applyFill="1" applyBorder="1" applyAlignment="1">
      <alignment horizontal="center"/>
    </xf>
    <xf numFmtId="165" fontId="2" fillId="42" borderId="1" xfId="2" applyNumberFormat="1" applyFont="1" applyFill="1" applyBorder="1" applyAlignment="1">
      <alignment horizontal="center"/>
    </xf>
    <xf numFmtId="44" fontId="0" fillId="0" borderId="0" xfId="0" applyNumberFormat="1" applyFill="1"/>
    <xf numFmtId="165" fontId="13" fillId="45" borderId="7" xfId="2" applyNumberFormat="1" applyFont="1" applyFill="1" applyBorder="1" applyAlignment="1"/>
    <xf numFmtId="164" fontId="1" fillId="0" borderId="10" xfId="1" applyNumberFormat="1" applyFont="1" applyFill="1" applyBorder="1"/>
    <xf numFmtId="9" fontId="2" fillId="44" borderId="1" xfId="3" applyFont="1" applyFill="1" applyBorder="1" applyAlignment="1">
      <alignment horizontal="center" wrapText="1"/>
    </xf>
    <xf numFmtId="9" fontId="2" fillId="40" borderId="1" xfId="3" applyFont="1" applyFill="1" applyBorder="1" applyAlignment="1">
      <alignment horizontal="center" wrapText="1"/>
    </xf>
    <xf numFmtId="9" fontId="2" fillId="38" borderId="1" xfId="3" applyFont="1" applyFill="1" applyBorder="1" applyAlignment="1">
      <alignment horizontal="center" wrapText="1"/>
    </xf>
    <xf numFmtId="164" fontId="2" fillId="39" borderId="9" xfId="1" applyNumberFormat="1" applyFont="1" applyFill="1" applyBorder="1" applyAlignment="1">
      <alignment horizontal="center"/>
    </xf>
    <xf numFmtId="164" fontId="2" fillId="0" borderId="10" xfId="1" applyNumberFormat="1" applyFont="1" applyFill="1" applyBorder="1" applyAlignment="1">
      <alignment horizontal="center" vertical="center"/>
    </xf>
    <xf numFmtId="164" fontId="1" fillId="0" borderId="10" xfId="1" applyNumberFormat="1" applyFont="1" applyFill="1" applyBorder="1" applyAlignment="1">
      <alignment horizontal="right"/>
    </xf>
    <xf numFmtId="164" fontId="1" fillId="0" borderId="12" xfId="1" applyNumberFormat="1" applyFont="1" applyFill="1" applyBorder="1"/>
    <xf numFmtId="164" fontId="2" fillId="0" borderId="40" xfId="1" applyNumberFormat="1" applyFont="1" applyFill="1" applyBorder="1"/>
    <xf numFmtId="0" fontId="0" fillId="0" borderId="37" xfId="0" applyFill="1" applyBorder="1" applyAlignment="1"/>
    <xf numFmtId="9" fontId="2" fillId="0" borderId="37" xfId="3" applyNumberFormat="1" applyFont="1" applyFill="1" applyBorder="1" applyAlignment="1">
      <alignment horizontal="center" vertical="center" wrapText="1"/>
    </xf>
    <xf numFmtId="10" fontId="1" fillId="0" borderId="37" xfId="3" applyNumberFormat="1" applyFont="1" applyFill="1" applyBorder="1"/>
    <xf numFmtId="10" fontId="2" fillId="0" borderId="37" xfId="3" applyNumberFormat="1" applyFont="1" applyFill="1" applyBorder="1"/>
    <xf numFmtId="9" fontId="2" fillId="43" borderId="1" xfId="3" applyFont="1" applyFill="1" applyBorder="1" applyAlignment="1">
      <alignment horizontal="center" wrapText="1"/>
    </xf>
    <xf numFmtId="164" fontId="1" fillId="0" borderId="31" xfId="1" applyNumberFormat="1" applyFont="1" applyFill="1" applyBorder="1"/>
    <xf numFmtId="164" fontId="2" fillId="0" borderId="1" xfId="1" applyNumberFormat="1" applyFont="1" applyFill="1" applyBorder="1" applyAlignment="1">
      <alignment horizontal="center" vertical="center"/>
    </xf>
    <xf numFmtId="9" fontId="2" fillId="42" borderId="1" xfId="3" applyFont="1" applyFill="1" applyBorder="1" applyAlignment="1">
      <alignment horizontal="center" wrapText="1"/>
    </xf>
    <xf numFmtId="10" fontId="0" fillId="0" borderId="1" xfId="3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>
      <alignment horizontal="center" vertical="center"/>
    </xf>
    <xf numFmtId="0" fontId="32" fillId="46" borderId="0" xfId="0" applyFont="1" applyFill="1"/>
    <xf numFmtId="164" fontId="1" fillId="46" borderId="0" xfId="1" applyNumberFormat="1" applyFont="1" applyFill="1" applyBorder="1"/>
    <xf numFmtId="0" fontId="0" fillId="46" borderId="0" xfId="0" applyFill="1" applyBorder="1"/>
    <xf numFmtId="164" fontId="2" fillId="0" borderId="1" xfId="1" applyNumberFormat="1" applyFont="1" applyFill="1" applyBorder="1" applyAlignment="1">
      <alignment horizontal="center" vertical="center"/>
    </xf>
    <xf numFmtId="10" fontId="0" fillId="0" borderId="0" xfId="3" applyNumberFormat="1" applyFont="1" applyFill="1" applyBorder="1" applyAlignment="1">
      <alignment horizontal="right"/>
    </xf>
    <xf numFmtId="166" fontId="6" fillId="0" borderId="13" xfId="1" applyNumberFormat="1" applyFont="1" applyFill="1" applyBorder="1"/>
    <xf numFmtId="166" fontId="1" fillId="0" borderId="0" xfId="1" applyNumberFormat="1" applyFont="1" applyFill="1" applyBorder="1"/>
    <xf numFmtId="166" fontId="1" fillId="0" borderId="0" xfId="3" applyNumberFormat="1" applyFont="1" applyFill="1"/>
    <xf numFmtId="166" fontId="1" fillId="0" borderId="0" xfId="2" applyNumberFormat="1" applyFont="1" applyFill="1"/>
    <xf numFmtId="166" fontId="1" fillId="0" borderId="0" xfId="1" applyNumberFormat="1" applyFont="1" applyFill="1"/>
    <xf numFmtId="166" fontId="0" fillId="0" borderId="0" xfId="0" applyNumberFormat="1" applyFill="1"/>
    <xf numFmtId="166" fontId="6" fillId="0" borderId="0" xfId="1" applyNumberFormat="1" applyFont="1" applyFill="1" applyBorder="1"/>
    <xf numFmtId="166" fontId="0" fillId="0" borderId="0" xfId="0" applyNumberFormat="1" applyFill="1" applyBorder="1"/>
    <xf numFmtId="166" fontId="0" fillId="0" borderId="0" xfId="3" applyNumberFormat="1" applyFont="1" applyFill="1" applyBorder="1" applyAlignment="1">
      <alignment horizontal="right"/>
    </xf>
    <xf numFmtId="166" fontId="6" fillId="0" borderId="9" xfId="1" applyNumberFormat="1" applyFont="1" applyFill="1" applyBorder="1"/>
    <xf numFmtId="166" fontId="0" fillId="0" borderId="10" xfId="0" applyNumberFormat="1" applyFill="1" applyBorder="1"/>
    <xf numFmtId="166" fontId="0" fillId="0" borderId="10" xfId="0" applyNumberFormat="1" applyBorder="1"/>
    <xf numFmtId="10" fontId="1" fillId="0" borderId="1" xfId="1" applyNumberFormat="1" applyFont="1" applyFill="1" applyBorder="1"/>
    <xf numFmtId="10" fontId="6" fillId="0" borderId="13" xfId="1" applyNumberFormat="1" applyFont="1" applyFill="1" applyBorder="1"/>
    <xf numFmtId="10" fontId="1" fillId="0" borderId="0" xfId="1" applyNumberFormat="1" applyFont="1" applyFill="1" applyBorder="1"/>
    <xf numFmtId="10" fontId="1" fillId="0" borderId="0" xfId="3" applyNumberFormat="1" applyFont="1" applyFill="1"/>
    <xf numFmtId="10" fontId="0" fillId="0" borderId="7" xfId="3" applyNumberFormat="1" applyFont="1" applyFill="1" applyBorder="1" applyAlignment="1">
      <alignment horizontal="right"/>
    </xf>
    <xf numFmtId="10" fontId="0" fillId="0" borderId="0" xfId="0" applyNumberFormat="1" applyFill="1"/>
    <xf numFmtId="10" fontId="6" fillId="0" borderId="0" xfId="1" applyNumberFormat="1" applyFont="1" applyFill="1" applyBorder="1"/>
    <xf numFmtId="10" fontId="0" fillId="0" borderId="0" xfId="0" applyNumberFormat="1" applyFill="1" applyBorder="1"/>
    <xf numFmtId="164" fontId="29" fillId="0" borderId="0" xfId="1" applyNumberFormat="1" applyFont="1" applyFill="1" applyBorder="1"/>
    <xf numFmtId="0" fontId="29" fillId="0" borderId="0" xfId="0" applyFont="1" applyFill="1"/>
    <xf numFmtId="164" fontId="29" fillId="0" borderId="0" xfId="0" applyNumberFormat="1" applyFont="1" applyFill="1"/>
    <xf numFmtId="165" fontId="26" fillId="0" borderId="0" xfId="2" applyNumberFormat="1" applyFont="1" applyFill="1" applyBorder="1"/>
    <xf numFmtId="0" fontId="29" fillId="0" borderId="0" xfId="0" applyFont="1" applyFill="1" applyBorder="1"/>
    <xf numFmtId="167" fontId="0" fillId="0" borderId="41" xfId="0" applyNumberFormat="1" applyBorder="1"/>
    <xf numFmtId="10" fontId="6" fillId="0" borderId="9" xfId="1" applyNumberFormat="1" applyFont="1" applyFill="1" applyBorder="1"/>
    <xf numFmtId="10" fontId="0" fillId="0" borderId="10" xfId="0" applyNumberFormat="1" applyBorder="1"/>
    <xf numFmtId="9" fontId="2" fillId="47" borderId="1" xfId="3" applyFont="1" applyFill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vertical="center"/>
    </xf>
    <xf numFmtId="9" fontId="2" fillId="48" borderId="1" xfId="3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2" fillId="0" borderId="7" xfId="3" applyFont="1" applyBorder="1" applyAlignment="1">
      <alignment horizontal="center"/>
    </xf>
    <xf numFmtId="9" fontId="2" fillId="0" borderId="9" xfId="3" applyFont="1" applyBorder="1" applyAlignment="1">
      <alignment horizontal="center"/>
    </xf>
    <xf numFmtId="9" fontId="2" fillId="0" borderId="10" xfId="3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/>
    <xf numFmtId="9" fontId="2" fillId="36" borderId="26" xfId="3" applyFont="1" applyFill="1" applyBorder="1" applyAlignment="1">
      <alignment horizontal="center"/>
    </xf>
    <xf numFmtId="9" fontId="2" fillId="36" borderId="27" xfId="3" applyFont="1" applyFill="1" applyBorder="1" applyAlignment="1">
      <alignment horizontal="center"/>
    </xf>
    <xf numFmtId="9" fontId="2" fillId="36" borderId="28" xfId="3" applyFont="1" applyFill="1" applyBorder="1" applyAlignment="1">
      <alignment horizontal="center"/>
    </xf>
    <xf numFmtId="9" fontId="2" fillId="36" borderId="7" xfId="3" applyFont="1" applyFill="1" applyBorder="1" applyAlignment="1">
      <alignment horizontal="center"/>
    </xf>
    <xf numFmtId="9" fontId="2" fillId="36" borderId="9" xfId="3" applyFon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9" fontId="2" fillId="37" borderId="7" xfId="3" applyFont="1" applyFill="1" applyBorder="1" applyAlignment="1">
      <alignment horizontal="center"/>
    </xf>
    <xf numFmtId="9" fontId="2" fillId="37" borderId="9" xfId="3" applyFont="1" applyFill="1" applyBorder="1" applyAlignment="1">
      <alignment horizontal="center"/>
    </xf>
    <xf numFmtId="0" fontId="0" fillId="37" borderId="10" xfId="0" applyFill="1" applyBorder="1" applyAlignment="1">
      <alignment horizontal="center"/>
    </xf>
    <xf numFmtId="9" fontId="2" fillId="37" borderId="26" xfId="3" applyFont="1" applyFill="1" applyBorder="1" applyAlignment="1">
      <alignment horizontal="center"/>
    </xf>
    <xf numFmtId="9" fontId="2" fillId="37" borderId="27" xfId="3" applyFont="1" applyFill="1" applyBorder="1" applyAlignment="1">
      <alignment horizontal="center"/>
    </xf>
    <xf numFmtId="9" fontId="2" fillId="37" borderId="28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9" fontId="2" fillId="35" borderId="7" xfId="3" applyFont="1" applyFill="1" applyBorder="1" applyAlignment="1">
      <alignment horizontal="center"/>
    </xf>
    <xf numFmtId="9" fontId="2" fillId="35" borderId="9" xfId="3" applyFon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9" fontId="2" fillId="35" borderId="26" xfId="3" applyFont="1" applyFill="1" applyBorder="1" applyAlignment="1">
      <alignment horizontal="center"/>
    </xf>
    <xf numFmtId="9" fontId="2" fillId="35" borderId="27" xfId="3" applyFont="1" applyFill="1" applyBorder="1" applyAlignment="1">
      <alignment horizontal="center"/>
    </xf>
    <xf numFmtId="9" fontId="2" fillId="35" borderId="28" xfId="3" applyFont="1" applyFill="1" applyBorder="1" applyAlignment="1">
      <alignment horizontal="center"/>
    </xf>
    <xf numFmtId="164" fontId="1" fillId="0" borderId="7" xfId="1" applyNumberFormat="1" applyFont="1" applyFill="1" applyBorder="1"/>
    <xf numFmtId="164" fontId="1" fillId="0" borderId="10" xfId="1" applyNumberFormat="1" applyFont="1" applyFill="1" applyBorder="1"/>
    <xf numFmtId="164" fontId="2" fillId="0" borderId="36" xfId="1" applyNumberFormat="1" applyFont="1" applyFill="1" applyBorder="1" applyAlignment="1">
      <alignment horizontal="center" vertical="center"/>
    </xf>
    <xf numFmtId="164" fontId="2" fillId="0" borderId="37" xfId="1" applyNumberFormat="1" applyFont="1" applyFill="1" applyBorder="1" applyAlignment="1">
      <alignment horizontal="center" vertical="center"/>
    </xf>
    <xf numFmtId="0" fontId="2" fillId="35" borderId="7" xfId="0" applyFont="1" applyFill="1" applyBorder="1" applyAlignment="1">
      <alignment horizontal="center"/>
    </xf>
    <xf numFmtId="0" fontId="2" fillId="35" borderId="9" xfId="0" applyFont="1" applyFill="1" applyBorder="1" applyAlignment="1">
      <alignment horizontal="center"/>
    </xf>
    <xf numFmtId="0" fontId="2" fillId="35" borderId="1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2" fillId="44" borderId="9" xfId="0" applyFont="1" applyFill="1" applyBorder="1" applyAlignment="1">
      <alignment horizontal="center"/>
    </xf>
    <xf numFmtId="0" fontId="2" fillId="44" borderId="10" xfId="0" applyFont="1" applyFill="1" applyBorder="1" applyAlignment="1">
      <alignment horizontal="center"/>
    </xf>
    <xf numFmtId="0" fontId="2" fillId="43" borderId="7" xfId="0" applyFont="1" applyFill="1" applyBorder="1" applyAlignment="1">
      <alignment horizontal="center"/>
    </xf>
    <xf numFmtId="0" fontId="2" fillId="43" borderId="9" xfId="0" applyFont="1" applyFill="1" applyBorder="1" applyAlignment="1">
      <alignment horizontal="center"/>
    </xf>
    <xf numFmtId="0" fontId="2" fillId="39" borderId="7" xfId="0" applyFont="1" applyFill="1" applyBorder="1" applyAlignment="1">
      <alignment horizontal="center"/>
    </xf>
    <xf numFmtId="0" fontId="2" fillId="39" borderId="9" xfId="0" applyFont="1" applyFill="1" applyBorder="1" applyAlignment="1">
      <alignment horizontal="center"/>
    </xf>
    <xf numFmtId="0" fontId="2" fillId="39" borderId="10" xfId="0" applyFont="1" applyFill="1" applyBorder="1" applyAlignment="1">
      <alignment horizontal="center"/>
    </xf>
    <xf numFmtId="0" fontId="2" fillId="40" borderId="7" xfId="0" applyFont="1" applyFill="1" applyBorder="1" applyAlignment="1">
      <alignment horizontal="center"/>
    </xf>
    <xf numFmtId="0" fontId="2" fillId="40" borderId="10" xfId="0" applyFont="1" applyFill="1" applyBorder="1" applyAlignment="1">
      <alignment horizontal="center"/>
    </xf>
    <xf numFmtId="165" fontId="2" fillId="0" borderId="0" xfId="2" applyNumberFormat="1" applyFont="1" applyFill="1" applyBorder="1" applyAlignment="1">
      <alignment horizontal="center"/>
    </xf>
    <xf numFmtId="9" fontId="2" fillId="41" borderId="7" xfId="3" applyFont="1" applyFill="1" applyBorder="1" applyAlignment="1">
      <alignment horizontal="center"/>
    </xf>
    <xf numFmtId="9" fontId="2" fillId="41" borderId="9" xfId="3" applyFont="1" applyFill="1" applyBorder="1" applyAlignment="1">
      <alignment horizontal="center"/>
    </xf>
    <xf numFmtId="9" fontId="2" fillId="41" borderId="10" xfId="3" applyFont="1" applyFill="1" applyBorder="1" applyAlignment="1">
      <alignment horizontal="center"/>
    </xf>
    <xf numFmtId="0" fontId="2" fillId="43" borderId="10" xfId="0" applyFont="1" applyFill="1" applyBorder="1" applyAlignment="1">
      <alignment horizontal="center"/>
    </xf>
    <xf numFmtId="9" fontId="2" fillId="42" borderId="7" xfId="3" applyFont="1" applyFill="1" applyBorder="1" applyAlignment="1">
      <alignment horizontal="center"/>
    </xf>
    <xf numFmtId="9" fontId="2" fillId="42" borderId="9" xfId="3" applyFont="1" applyFill="1" applyBorder="1" applyAlignment="1">
      <alignment horizontal="center"/>
    </xf>
    <xf numFmtId="9" fontId="2" fillId="42" borderId="10" xfId="3" applyFont="1" applyFill="1" applyBorder="1" applyAlignment="1">
      <alignment horizontal="center"/>
    </xf>
    <xf numFmtId="9" fontId="2" fillId="41" borderId="26" xfId="3" applyFont="1" applyFill="1" applyBorder="1" applyAlignment="1">
      <alignment horizontal="center"/>
    </xf>
    <xf numFmtId="9" fontId="2" fillId="41" borderId="27" xfId="3" applyFont="1" applyFill="1" applyBorder="1" applyAlignment="1">
      <alignment horizontal="center"/>
    </xf>
    <xf numFmtId="9" fontId="2" fillId="41" borderId="28" xfId="3" applyFont="1" applyFill="1" applyBorder="1" applyAlignment="1">
      <alignment horizontal="center"/>
    </xf>
    <xf numFmtId="9" fontId="2" fillId="39" borderId="7" xfId="3" applyFont="1" applyFill="1" applyBorder="1" applyAlignment="1">
      <alignment horizontal="center" wrapText="1"/>
    </xf>
    <xf numFmtId="9" fontId="2" fillId="39" borderId="10" xfId="3" applyFont="1" applyFill="1" applyBorder="1" applyAlignment="1">
      <alignment horizontal="center" wrapText="1"/>
    </xf>
    <xf numFmtId="9" fontId="2" fillId="39" borderId="7" xfId="3" applyFont="1" applyFill="1" applyBorder="1" applyAlignment="1">
      <alignment horizontal="center"/>
    </xf>
    <xf numFmtId="9" fontId="2" fillId="39" borderId="10" xfId="3" applyFont="1" applyFill="1" applyBorder="1" applyAlignment="1">
      <alignment horizontal="center"/>
    </xf>
    <xf numFmtId="9" fontId="2" fillId="33" borderId="7" xfId="3" applyFont="1" applyFill="1" applyBorder="1" applyAlignment="1">
      <alignment horizontal="center"/>
    </xf>
    <xf numFmtId="9" fontId="2" fillId="33" borderId="9" xfId="3" applyFont="1" applyFill="1" applyBorder="1" applyAlignment="1">
      <alignment horizontal="center"/>
    </xf>
    <xf numFmtId="0" fontId="0" fillId="33" borderId="9" xfId="0" applyFill="1" applyBorder="1" applyAlignment="1">
      <alignment horizontal="center"/>
    </xf>
    <xf numFmtId="9" fontId="2" fillId="33" borderId="26" xfId="3" applyFont="1" applyFill="1" applyBorder="1" applyAlignment="1">
      <alignment horizontal="center"/>
    </xf>
    <xf numFmtId="9" fontId="2" fillId="33" borderId="27" xfId="3" applyFont="1" applyFill="1" applyBorder="1" applyAlignment="1">
      <alignment horizontal="center"/>
    </xf>
    <xf numFmtId="9" fontId="2" fillId="33" borderId="28" xfId="3" applyFont="1" applyFill="1" applyBorder="1" applyAlignment="1">
      <alignment horizontal="center"/>
    </xf>
    <xf numFmtId="9" fontId="2" fillId="40" borderId="7" xfId="3" applyFont="1" applyFill="1" applyBorder="1" applyAlignment="1">
      <alignment horizontal="center"/>
    </xf>
    <xf numFmtId="9" fontId="2" fillId="40" borderId="9" xfId="3" applyFont="1" applyFill="1" applyBorder="1" applyAlignment="1">
      <alignment horizontal="center"/>
    </xf>
    <xf numFmtId="0" fontId="0" fillId="40" borderId="9" xfId="0" applyFill="1" applyBorder="1" applyAlignment="1">
      <alignment horizontal="center"/>
    </xf>
    <xf numFmtId="9" fontId="2" fillId="40" borderId="26" xfId="3" applyFont="1" applyFill="1" applyBorder="1" applyAlignment="1">
      <alignment horizontal="center"/>
    </xf>
    <xf numFmtId="9" fontId="2" fillId="40" borderId="27" xfId="3" applyFont="1" applyFill="1" applyBorder="1" applyAlignment="1">
      <alignment horizontal="center"/>
    </xf>
    <xf numFmtId="9" fontId="2" fillId="40" borderId="28" xfId="3" applyFont="1" applyFill="1" applyBorder="1" applyAlignment="1">
      <alignment horizontal="center"/>
    </xf>
    <xf numFmtId="0" fontId="2" fillId="34" borderId="7" xfId="0" applyFont="1" applyFill="1" applyBorder="1" applyAlignment="1">
      <alignment horizontal="center"/>
    </xf>
    <xf numFmtId="0" fontId="2" fillId="34" borderId="10" xfId="0" applyFont="1" applyFill="1" applyBorder="1" applyAlignment="1">
      <alignment horizontal="center"/>
    </xf>
    <xf numFmtId="9" fontId="2" fillId="34" borderId="26" xfId="3" applyFont="1" applyFill="1" applyBorder="1" applyAlignment="1">
      <alignment horizontal="center"/>
    </xf>
    <xf numFmtId="9" fontId="2" fillId="34" borderId="27" xfId="3" applyFont="1" applyFill="1" applyBorder="1" applyAlignment="1">
      <alignment horizontal="center"/>
    </xf>
    <xf numFmtId="9" fontId="2" fillId="34" borderId="28" xfId="3" applyFont="1" applyFill="1" applyBorder="1" applyAlignment="1">
      <alignment horizontal="center"/>
    </xf>
    <xf numFmtId="9" fontId="2" fillId="34" borderId="7" xfId="3" applyFont="1" applyFill="1" applyBorder="1" applyAlignment="1">
      <alignment horizontal="center"/>
    </xf>
    <xf numFmtId="9" fontId="2" fillId="34" borderId="9" xfId="3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40" borderId="10" xfId="0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9" fontId="2" fillId="38" borderId="7" xfId="3" applyFont="1" applyFill="1" applyBorder="1" applyAlignment="1">
      <alignment horizontal="center"/>
    </xf>
    <xf numFmtId="9" fontId="2" fillId="38" borderId="9" xfId="3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9" fontId="2" fillId="38" borderId="26" xfId="3" applyFont="1" applyFill="1" applyBorder="1" applyAlignment="1">
      <alignment horizontal="center"/>
    </xf>
    <xf numFmtId="9" fontId="2" fillId="38" borderId="27" xfId="3" applyFont="1" applyFill="1" applyBorder="1" applyAlignment="1">
      <alignment horizontal="center"/>
    </xf>
    <xf numFmtId="9" fontId="2" fillId="38" borderId="28" xfId="3" applyFont="1" applyFill="1" applyBorder="1" applyAlignment="1">
      <alignment horizontal="center"/>
    </xf>
    <xf numFmtId="0" fontId="2" fillId="38" borderId="7" xfId="0" applyFont="1" applyFill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0" fontId="2" fillId="38" borderId="10" xfId="0" applyFont="1" applyFill="1" applyBorder="1" applyAlignment="1">
      <alignment horizontal="center"/>
    </xf>
    <xf numFmtId="164" fontId="1" fillId="45" borderId="7" xfId="1" applyNumberFormat="1" applyFont="1" applyFill="1" applyBorder="1"/>
    <xf numFmtId="164" fontId="1" fillId="45" borderId="10" xfId="1" applyNumberFormat="1" applyFont="1" applyFill="1" applyBorder="1"/>
    <xf numFmtId="164" fontId="2" fillId="0" borderId="0" xfId="1" applyNumberFormat="1" applyFont="1" applyFill="1" applyBorder="1" applyAlignment="1">
      <alignment horizontal="right"/>
    </xf>
    <xf numFmtId="9" fontId="2" fillId="44" borderId="7" xfId="3" applyFont="1" applyFill="1" applyBorder="1" applyAlignment="1">
      <alignment horizontal="center"/>
    </xf>
    <xf numFmtId="9" fontId="2" fillId="44" borderId="9" xfId="3" applyFont="1" applyFill="1" applyBorder="1" applyAlignment="1">
      <alignment horizontal="center"/>
    </xf>
    <xf numFmtId="0" fontId="0" fillId="44" borderId="10" xfId="0" applyFill="1" applyBorder="1" applyAlignment="1">
      <alignment horizontal="center"/>
    </xf>
    <xf numFmtId="9" fontId="2" fillId="43" borderId="7" xfId="3" applyFont="1" applyFill="1" applyBorder="1" applyAlignment="1">
      <alignment horizontal="center"/>
    </xf>
    <xf numFmtId="9" fontId="2" fillId="43" borderId="9" xfId="3" applyFont="1" applyFill="1" applyBorder="1" applyAlignment="1">
      <alignment horizontal="center"/>
    </xf>
    <xf numFmtId="0" fontId="0" fillId="43" borderId="10" xfId="0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 vertical="center"/>
    </xf>
    <xf numFmtId="9" fontId="2" fillId="48" borderId="7" xfId="3" applyFont="1" applyFill="1" applyBorder="1" applyAlignment="1">
      <alignment horizontal="center"/>
    </xf>
    <xf numFmtId="9" fontId="2" fillId="48" borderId="9" xfId="3" applyFont="1" applyFill="1" applyBorder="1" applyAlignment="1">
      <alignment horizontal="center"/>
    </xf>
    <xf numFmtId="9" fontId="2" fillId="47" borderId="7" xfId="3" applyFont="1" applyFill="1" applyBorder="1" applyAlignment="1">
      <alignment horizontal="center"/>
    </xf>
    <xf numFmtId="9" fontId="2" fillId="47" borderId="9" xfId="3" applyFont="1" applyFill="1" applyBorder="1" applyAlignment="1">
      <alignment horizontal="center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5" xr:uid="{00000000-0005-0000-0000-000027000000}"/>
    <cellStyle name="Normal 3" xfId="46" xr:uid="{00000000-0005-0000-0000-000028000000}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9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lers%20Office%20-%20Fixed%20Assets/INVENTORY/Kim%20H/Metrics_Statistics/CAPPFY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lers%20Office%20-%20Fixed%20Assets/INVENTORY/Kim%20H/Metrics_Statistics/CAPPFY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 Detail"/>
      <sheetName val="JHU only"/>
    </sheetNames>
    <sheetDataSet>
      <sheetData sheetId="0">
        <row r="4473">
          <cell r="M4473">
            <v>4471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 Detail"/>
    </sheetNames>
    <sheetDataSet>
      <sheetData sheetId="0">
        <row r="1562">
          <cell r="M1562">
            <v>4668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7"/>
  <sheetViews>
    <sheetView workbookViewId="0">
      <selection activeCell="I11" sqref="I11"/>
    </sheetView>
  </sheetViews>
  <sheetFormatPr defaultRowHeight="14.4" x14ac:dyDescent="0.3"/>
  <cols>
    <col min="1" max="1" width="42.5546875" customWidth="1"/>
    <col min="2" max="2" width="14.33203125" style="2" hidden="1" customWidth="1"/>
    <col min="3" max="4" width="14.33203125" hidden="1" customWidth="1"/>
    <col min="5" max="5" width="14.6640625" style="47" customWidth="1"/>
    <col min="6" max="6" width="14.33203125" style="2" customWidth="1"/>
    <col min="7" max="7" width="0.5546875" style="13" customWidth="1"/>
    <col min="8" max="8" width="14.33203125" style="47" customWidth="1"/>
    <col min="9" max="9" width="14.33203125" style="2" customWidth="1"/>
    <col min="10" max="10" width="14.33203125" style="17" customWidth="1"/>
    <col min="11" max="11" width="14.33203125" style="47" customWidth="1"/>
    <col min="12" max="12" width="14.33203125" style="2" customWidth="1"/>
    <col min="13" max="13" width="14.33203125" style="17" customWidth="1"/>
  </cols>
  <sheetData>
    <row r="2" spans="1:13" x14ac:dyDescent="0.3">
      <c r="A2" s="1"/>
      <c r="B2" s="245" t="s">
        <v>1</v>
      </c>
      <c r="C2" s="246"/>
      <c r="D2" s="247"/>
      <c r="E2" s="245" t="s">
        <v>2</v>
      </c>
      <c r="F2" s="246"/>
      <c r="G2" s="247"/>
      <c r="H2" s="248" t="s">
        <v>3</v>
      </c>
      <c r="I2" s="249"/>
      <c r="J2" s="250"/>
      <c r="K2" s="248" t="s">
        <v>31</v>
      </c>
      <c r="L2" s="249"/>
      <c r="M2" s="250"/>
    </row>
    <row r="3" spans="1:13" s="7" customFormat="1" ht="45" customHeight="1" x14ac:dyDescent="0.3">
      <c r="A3" s="11" t="s">
        <v>0</v>
      </c>
      <c r="B3" s="8" t="s">
        <v>5</v>
      </c>
      <c r="C3" s="9" t="s">
        <v>4</v>
      </c>
      <c r="D3" s="10" t="s">
        <v>9</v>
      </c>
      <c r="E3" s="40" t="s">
        <v>5</v>
      </c>
      <c r="F3" s="14" t="s">
        <v>4</v>
      </c>
      <c r="G3" s="12"/>
      <c r="H3" s="40" t="s">
        <v>5</v>
      </c>
      <c r="I3" s="14" t="s">
        <v>4</v>
      </c>
      <c r="J3" s="16" t="s">
        <v>9</v>
      </c>
      <c r="K3" s="40" t="s">
        <v>5</v>
      </c>
      <c r="L3" s="14" t="s">
        <v>4</v>
      </c>
      <c r="M3" s="16" t="s">
        <v>9</v>
      </c>
    </row>
    <row r="4" spans="1:13" x14ac:dyDescent="0.3">
      <c r="A4" s="1" t="s">
        <v>6</v>
      </c>
      <c r="B4" s="3" t="s">
        <v>7</v>
      </c>
      <c r="C4" s="1">
        <v>2759</v>
      </c>
      <c r="D4" s="4" t="s">
        <v>7</v>
      </c>
      <c r="E4" s="41" t="s">
        <v>7</v>
      </c>
      <c r="F4" s="15">
        <v>2918</v>
      </c>
      <c r="G4" s="19"/>
      <c r="H4" s="41" t="s">
        <v>7</v>
      </c>
      <c r="I4" s="15">
        <v>4021</v>
      </c>
      <c r="J4" s="49">
        <f>(I4-F4)/F4</f>
        <v>0.37799862919808086</v>
      </c>
      <c r="K4" s="41" t="s">
        <v>7</v>
      </c>
      <c r="L4" s="15">
        <v>4021</v>
      </c>
      <c r="M4" s="49">
        <f>(L4-I4)/I4</f>
        <v>0</v>
      </c>
    </row>
    <row r="5" spans="1:13" x14ac:dyDescent="0.3">
      <c r="A5" s="1" t="s">
        <v>8</v>
      </c>
      <c r="B5" s="5">
        <v>1189341666</v>
      </c>
      <c r="C5" s="1">
        <v>4844</v>
      </c>
      <c r="D5" s="4" t="s">
        <v>7</v>
      </c>
      <c r="E5" s="42">
        <v>214612150</v>
      </c>
      <c r="F5" s="15">
        <v>5456</v>
      </c>
      <c r="G5" s="19"/>
      <c r="H5" s="42">
        <v>499695063</v>
      </c>
      <c r="I5" s="15">
        <v>4408</v>
      </c>
      <c r="J5" s="49">
        <f t="shared" ref="J5:J20" si="0">(I5-F5)/F5</f>
        <v>-0.19208211143695014</v>
      </c>
      <c r="K5" s="42">
        <v>499695063</v>
      </c>
      <c r="L5" s="15">
        <v>4408</v>
      </c>
      <c r="M5" s="49">
        <f>(L5-I5)/I5</f>
        <v>0</v>
      </c>
    </row>
    <row r="6" spans="1:13" x14ac:dyDescent="0.3">
      <c r="A6" s="1" t="s">
        <v>12</v>
      </c>
      <c r="B6" s="3" t="s">
        <v>7</v>
      </c>
      <c r="C6" s="3" t="s">
        <v>7</v>
      </c>
      <c r="D6" s="3" t="s">
        <v>7</v>
      </c>
      <c r="E6" s="41" t="s">
        <v>7</v>
      </c>
      <c r="F6" s="15">
        <f>573+418</f>
        <v>991</v>
      </c>
      <c r="G6" s="20"/>
      <c r="H6" s="41" t="s">
        <v>7</v>
      </c>
      <c r="I6" s="15">
        <f>939+424</f>
        <v>1363</v>
      </c>
      <c r="J6" s="49">
        <f t="shared" si="0"/>
        <v>0.37537840565085773</v>
      </c>
      <c r="K6" s="41" t="s">
        <v>7</v>
      </c>
      <c r="L6" s="15">
        <f>939+424</f>
        <v>1363</v>
      </c>
      <c r="M6" s="49">
        <f>(L6-I6)/I6</f>
        <v>0</v>
      </c>
    </row>
    <row r="7" spans="1:13" x14ac:dyDescent="0.3">
      <c r="A7" s="1" t="s">
        <v>13</v>
      </c>
      <c r="B7" s="3" t="s">
        <v>7</v>
      </c>
      <c r="C7" s="3" t="s">
        <v>7</v>
      </c>
      <c r="D7" s="3" t="s">
        <v>7</v>
      </c>
      <c r="E7" s="41" t="s">
        <v>7</v>
      </c>
      <c r="F7" s="15">
        <f>5188+2972</f>
        <v>8160</v>
      </c>
      <c r="G7" s="20"/>
      <c r="H7" s="41" t="s">
        <v>7</v>
      </c>
      <c r="I7" s="15">
        <f>5515+2529</f>
        <v>8044</v>
      </c>
      <c r="J7" s="49">
        <f t="shared" si="0"/>
        <v>-1.4215686274509804E-2</v>
      </c>
      <c r="K7" s="41" t="s">
        <v>7</v>
      </c>
      <c r="L7" s="15">
        <f>5515+2529</f>
        <v>8044</v>
      </c>
      <c r="M7" s="49">
        <f>(L7-I7)/I7</f>
        <v>0</v>
      </c>
    </row>
    <row r="8" spans="1:13" x14ac:dyDescent="0.3">
      <c r="A8" s="6" t="s">
        <v>29</v>
      </c>
      <c r="B8" s="3"/>
      <c r="C8" s="3"/>
      <c r="D8" s="3"/>
      <c r="E8" s="41"/>
      <c r="F8" s="18"/>
      <c r="G8" s="20"/>
      <c r="H8" s="48"/>
      <c r="I8" s="15"/>
      <c r="J8" s="49"/>
      <c r="K8" s="48"/>
      <c r="L8" s="15"/>
      <c r="M8" s="49"/>
    </row>
    <row r="9" spans="1:13" x14ac:dyDescent="0.3">
      <c r="A9" s="6" t="s">
        <v>14</v>
      </c>
      <c r="B9" s="3" t="s">
        <v>7</v>
      </c>
      <c r="C9" s="3" t="s">
        <v>7</v>
      </c>
      <c r="D9" s="3" t="s">
        <v>7</v>
      </c>
      <c r="E9" s="41" t="s">
        <v>7</v>
      </c>
      <c r="F9" s="15">
        <v>22320</v>
      </c>
      <c r="G9" s="20"/>
      <c r="H9" s="48" t="s">
        <v>7</v>
      </c>
      <c r="I9" s="15">
        <v>16116</v>
      </c>
      <c r="J9" s="49">
        <f t="shared" si="0"/>
        <v>-0.27795698924731183</v>
      </c>
      <c r="K9" s="48" t="s">
        <v>7</v>
      </c>
      <c r="L9" s="15">
        <v>16116</v>
      </c>
      <c r="M9" s="49">
        <f t="shared" ref="M9:M20" si="1">(L9-I9)/I9</f>
        <v>0</v>
      </c>
    </row>
    <row r="10" spans="1:13" x14ac:dyDescent="0.3">
      <c r="A10" s="6" t="s">
        <v>15</v>
      </c>
      <c r="B10" s="3" t="s">
        <v>7</v>
      </c>
      <c r="C10" s="3" t="s">
        <v>7</v>
      </c>
      <c r="D10" s="3" t="s">
        <v>7</v>
      </c>
      <c r="E10" s="41" t="s">
        <v>7</v>
      </c>
      <c r="F10" s="15">
        <v>1524</v>
      </c>
      <c r="G10" s="20"/>
      <c r="H10" s="48" t="s">
        <v>7</v>
      </c>
      <c r="I10" s="15">
        <v>2184</v>
      </c>
      <c r="J10" s="49">
        <f t="shared" si="0"/>
        <v>0.43307086614173229</v>
      </c>
      <c r="K10" s="48" t="s">
        <v>7</v>
      </c>
      <c r="L10" s="15">
        <v>2184</v>
      </c>
      <c r="M10" s="49">
        <f t="shared" si="1"/>
        <v>0</v>
      </c>
    </row>
    <row r="11" spans="1:13" x14ac:dyDescent="0.3">
      <c r="A11" s="6" t="s">
        <v>16</v>
      </c>
      <c r="B11" s="3" t="s">
        <v>7</v>
      </c>
      <c r="C11" s="3" t="s">
        <v>7</v>
      </c>
      <c r="D11" s="3" t="s">
        <v>7</v>
      </c>
      <c r="E11" s="41" t="s">
        <v>7</v>
      </c>
      <c r="F11" s="15">
        <v>7344</v>
      </c>
      <c r="G11" s="20"/>
      <c r="H11" s="48" t="s">
        <v>7</v>
      </c>
      <c r="I11" s="15">
        <v>4932</v>
      </c>
      <c r="J11" s="49">
        <f t="shared" si="0"/>
        <v>-0.32843137254901961</v>
      </c>
      <c r="K11" s="48" t="s">
        <v>7</v>
      </c>
      <c r="L11" s="15">
        <v>4932</v>
      </c>
      <c r="M11" s="49">
        <f t="shared" si="1"/>
        <v>0</v>
      </c>
    </row>
    <row r="12" spans="1:13" x14ac:dyDescent="0.3">
      <c r="A12" s="6" t="s">
        <v>17</v>
      </c>
      <c r="B12" s="3" t="s">
        <v>7</v>
      </c>
      <c r="C12" s="3" t="s">
        <v>7</v>
      </c>
      <c r="D12" s="3" t="s">
        <v>7</v>
      </c>
      <c r="E12" s="41" t="s">
        <v>7</v>
      </c>
      <c r="F12" s="15">
        <v>42744</v>
      </c>
      <c r="G12" s="20"/>
      <c r="H12" s="48" t="s">
        <v>7</v>
      </c>
      <c r="I12" s="15">
        <v>52788</v>
      </c>
      <c r="J12" s="49">
        <f t="shared" si="0"/>
        <v>0.23498034811903426</v>
      </c>
      <c r="K12" s="48" t="s">
        <v>7</v>
      </c>
      <c r="L12" s="15">
        <v>52788</v>
      </c>
      <c r="M12" s="49">
        <f t="shared" si="1"/>
        <v>0</v>
      </c>
    </row>
    <row r="13" spans="1:13" x14ac:dyDescent="0.3">
      <c r="A13" s="6" t="s">
        <v>18</v>
      </c>
      <c r="B13" s="3" t="s">
        <v>7</v>
      </c>
      <c r="C13" s="3" t="s">
        <v>7</v>
      </c>
      <c r="D13" s="3" t="s">
        <v>7</v>
      </c>
      <c r="E13" s="41" t="s">
        <v>7</v>
      </c>
      <c r="F13" s="15">
        <v>600</v>
      </c>
      <c r="G13" s="20"/>
      <c r="H13" s="48" t="s">
        <v>7</v>
      </c>
      <c r="I13" s="15">
        <v>552</v>
      </c>
      <c r="J13" s="49">
        <f t="shared" si="0"/>
        <v>-0.08</v>
      </c>
      <c r="K13" s="48" t="s">
        <v>7</v>
      </c>
      <c r="L13" s="15">
        <v>552</v>
      </c>
      <c r="M13" s="49">
        <f t="shared" si="1"/>
        <v>0</v>
      </c>
    </row>
    <row r="14" spans="1:13" x14ac:dyDescent="0.3">
      <c r="A14" s="6" t="s">
        <v>19</v>
      </c>
      <c r="B14" s="3" t="s">
        <v>7</v>
      </c>
      <c r="C14" s="3" t="s">
        <v>7</v>
      </c>
      <c r="D14" s="3" t="s">
        <v>7</v>
      </c>
      <c r="E14" s="41" t="s">
        <v>7</v>
      </c>
      <c r="F14" s="15">
        <v>888</v>
      </c>
      <c r="G14" s="20"/>
      <c r="H14" s="48" t="s">
        <v>7</v>
      </c>
      <c r="I14" s="15">
        <v>612</v>
      </c>
      <c r="J14" s="49">
        <f t="shared" si="0"/>
        <v>-0.3108108108108108</v>
      </c>
      <c r="K14" s="48" t="s">
        <v>7</v>
      </c>
      <c r="L14" s="15">
        <v>612</v>
      </c>
      <c r="M14" s="49">
        <f t="shared" si="1"/>
        <v>0</v>
      </c>
    </row>
    <row r="15" spans="1:13" x14ac:dyDescent="0.3">
      <c r="A15" s="6" t="s">
        <v>20</v>
      </c>
      <c r="B15" s="3" t="s">
        <v>7</v>
      </c>
      <c r="C15" s="3" t="s">
        <v>7</v>
      </c>
      <c r="D15" s="3" t="s">
        <v>7</v>
      </c>
      <c r="E15" s="41" t="s">
        <v>7</v>
      </c>
      <c r="F15" s="15">
        <v>16284</v>
      </c>
      <c r="G15" s="20"/>
      <c r="H15" s="48" t="s">
        <v>7</v>
      </c>
      <c r="I15" s="15">
        <v>10956</v>
      </c>
      <c r="J15" s="49">
        <f t="shared" si="0"/>
        <v>-0.32719233603537212</v>
      </c>
      <c r="K15" s="48" t="s">
        <v>7</v>
      </c>
      <c r="L15" s="15">
        <v>10956</v>
      </c>
      <c r="M15" s="49">
        <f t="shared" si="1"/>
        <v>0</v>
      </c>
    </row>
    <row r="16" spans="1:13" x14ac:dyDescent="0.3">
      <c r="A16" s="6" t="s">
        <v>21</v>
      </c>
      <c r="B16" s="3" t="s">
        <v>7</v>
      </c>
      <c r="C16" s="3" t="s">
        <v>7</v>
      </c>
      <c r="D16" s="3" t="s">
        <v>7</v>
      </c>
      <c r="E16" s="41" t="s">
        <v>7</v>
      </c>
      <c r="F16" s="15">
        <v>1044</v>
      </c>
      <c r="G16" s="20"/>
      <c r="H16" s="48" t="s">
        <v>7</v>
      </c>
      <c r="I16" s="15">
        <v>924</v>
      </c>
      <c r="J16" s="49">
        <f t="shared" si="0"/>
        <v>-0.11494252873563218</v>
      </c>
      <c r="K16" s="48" t="s">
        <v>7</v>
      </c>
      <c r="L16" s="15">
        <v>924</v>
      </c>
      <c r="M16" s="49">
        <f t="shared" si="1"/>
        <v>0</v>
      </c>
    </row>
    <row r="17" spans="1:13" x14ac:dyDescent="0.3">
      <c r="A17" s="6" t="s">
        <v>30</v>
      </c>
      <c r="B17" s="3" t="s">
        <v>7</v>
      </c>
      <c r="C17" s="3" t="s">
        <v>7</v>
      </c>
      <c r="D17" s="3" t="s">
        <v>7</v>
      </c>
      <c r="E17" s="41" t="s">
        <v>7</v>
      </c>
      <c r="F17" s="15">
        <v>128</v>
      </c>
      <c r="G17" s="20"/>
      <c r="H17" s="48" t="s">
        <v>7</v>
      </c>
      <c r="I17" s="15">
        <v>147</v>
      </c>
      <c r="J17" s="49">
        <f t="shared" si="0"/>
        <v>0.1484375</v>
      </c>
      <c r="K17" s="48" t="s">
        <v>7</v>
      </c>
      <c r="L17" s="15">
        <v>147</v>
      </c>
      <c r="M17" s="49">
        <f t="shared" si="1"/>
        <v>0</v>
      </c>
    </row>
    <row r="18" spans="1:13" x14ac:dyDescent="0.3">
      <c r="A18" s="6" t="s">
        <v>22</v>
      </c>
      <c r="B18" s="3" t="s">
        <v>7</v>
      </c>
      <c r="C18" s="3" t="s">
        <v>7</v>
      </c>
      <c r="D18" s="3" t="s">
        <v>7</v>
      </c>
      <c r="E18" s="41" t="s">
        <v>7</v>
      </c>
      <c r="F18" s="15">
        <v>299</v>
      </c>
      <c r="G18" s="20"/>
      <c r="H18" s="48" t="s">
        <v>7</v>
      </c>
      <c r="I18" s="15">
        <v>448</v>
      </c>
      <c r="J18" s="49">
        <f t="shared" si="0"/>
        <v>0.49832775919732442</v>
      </c>
      <c r="K18" s="48" t="s">
        <v>7</v>
      </c>
      <c r="L18" s="15">
        <v>448</v>
      </c>
      <c r="M18" s="49">
        <f t="shared" si="1"/>
        <v>0</v>
      </c>
    </row>
    <row r="19" spans="1:13" x14ac:dyDescent="0.3">
      <c r="A19" s="6" t="s">
        <v>23</v>
      </c>
      <c r="B19" s="3" t="s">
        <v>7</v>
      </c>
      <c r="C19" s="3" t="s">
        <v>7</v>
      </c>
      <c r="D19" s="3" t="s">
        <v>7</v>
      </c>
      <c r="E19" s="41" t="s">
        <v>7</v>
      </c>
      <c r="F19" s="18">
        <f>3975+1488</f>
        <v>5463</v>
      </c>
      <c r="G19" s="20"/>
      <c r="H19" s="48" t="s">
        <v>7</v>
      </c>
      <c r="I19" s="15">
        <v>5279</v>
      </c>
      <c r="J19" s="49">
        <f t="shared" si="0"/>
        <v>-3.368112758557569E-2</v>
      </c>
      <c r="K19" s="48" t="s">
        <v>7</v>
      </c>
      <c r="L19" s="15">
        <v>5279</v>
      </c>
      <c r="M19" s="49">
        <f t="shared" si="1"/>
        <v>0</v>
      </c>
    </row>
    <row r="20" spans="1:13" s="7" customFormat="1" ht="19.95" customHeight="1" thickBot="1" x14ac:dyDescent="0.35">
      <c r="A20" s="33" t="s">
        <v>24</v>
      </c>
      <c r="B20" s="34"/>
      <c r="C20" s="35"/>
      <c r="D20" s="35"/>
      <c r="E20" s="43">
        <f>SUM(E4:E19)</f>
        <v>214612150</v>
      </c>
      <c r="F20" s="34">
        <f>SUM(F4:F19)</f>
        <v>116163</v>
      </c>
      <c r="G20" s="36" t="s">
        <v>28</v>
      </c>
      <c r="H20" s="43">
        <f>SUM(H4:H19)</f>
        <v>499695063</v>
      </c>
      <c r="I20" s="34">
        <f>SUM(I4:I19)</f>
        <v>112774</v>
      </c>
      <c r="J20" s="50">
        <f t="shared" si="0"/>
        <v>-2.9174522007868253E-2</v>
      </c>
      <c r="K20" s="43">
        <f>SUM(K4:K19)</f>
        <v>499695063</v>
      </c>
      <c r="L20" s="34">
        <f>SUM(L4:L19)</f>
        <v>112774</v>
      </c>
      <c r="M20" s="50">
        <f t="shared" si="1"/>
        <v>0</v>
      </c>
    </row>
    <row r="21" spans="1:13" ht="15.6" thickTop="1" thickBot="1" x14ac:dyDescent="0.35">
      <c r="A21" s="28"/>
      <c r="B21" s="29"/>
      <c r="C21" s="30"/>
      <c r="D21" s="30"/>
      <c r="E21" s="44"/>
      <c r="F21" s="29"/>
      <c r="G21" s="31"/>
      <c r="H21" s="44"/>
      <c r="I21" s="29"/>
      <c r="J21" s="32"/>
      <c r="K21" s="44"/>
      <c r="L21" s="29"/>
      <c r="M21" s="32"/>
    </row>
    <row r="22" spans="1:13" s="7" customFormat="1" ht="45" customHeight="1" thickTop="1" x14ac:dyDescent="0.3">
      <c r="A22" s="21" t="s">
        <v>25</v>
      </c>
      <c r="B22" s="22" t="s">
        <v>5</v>
      </c>
      <c r="C22" s="23" t="s">
        <v>4</v>
      </c>
      <c r="D22" s="24" t="s">
        <v>9</v>
      </c>
      <c r="E22" s="45" t="s">
        <v>5</v>
      </c>
      <c r="F22" s="25" t="s">
        <v>4</v>
      </c>
      <c r="G22" s="26"/>
      <c r="H22" s="45" t="s">
        <v>5</v>
      </c>
      <c r="I22" s="25" t="s">
        <v>4</v>
      </c>
      <c r="J22" s="27" t="s">
        <v>9</v>
      </c>
      <c r="K22" s="45" t="s">
        <v>5</v>
      </c>
      <c r="L22" s="25" t="s">
        <v>4</v>
      </c>
      <c r="M22" s="27" t="s">
        <v>9</v>
      </c>
    </row>
    <row r="23" spans="1:13" x14ac:dyDescent="0.3">
      <c r="A23" s="1" t="s">
        <v>10</v>
      </c>
      <c r="B23" s="3" t="s">
        <v>7</v>
      </c>
      <c r="C23" s="3" t="s">
        <v>7</v>
      </c>
      <c r="D23" s="3" t="s">
        <v>7</v>
      </c>
      <c r="E23" s="41" t="s">
        <v>7</v>
      </c>
      <c r="F23" s="18" t="s">
        <v>7</v>
      </c>
      <c r="G23" s="20"/>
      <c r="H23" s="42">
        <v>102555069.57999998</v>
      </c>
      <c r="I23" s="15">
        <v>4810</v>
      </c>
      <c r="J23" s="49" t="e">
        <f>(I23-F23)/F23</f>
        <v>#VALUE!</v>
      </c>
      <c r="K23" s="42">
        <v>102555069.57999998</v>
      </c>
      <c r="L23" s="15">
        <v>4810</v>
      </c>
      <c r="M23" s="49">
        <f>(L23-I23)/I23</f>
        <v>0</v>
      </c>
    </row>
    <row r="24" spans="1:13" x14ac:dyDescent="0.3">
      <c r="A24" s="1" t="s">
        <v>11</v>
      </c>
      <c r="B24" s="3" t="s">
        <v>7</v>
      </c>
      <c r="C24" s="3" t="s">
        <v>7</v>
      </c>
      <c r="D24" s="3" t="s">
        <v>7</v>
      </c>
      <c r="E24" s="41" t="s">
        <v>7</v>
      </c>
      <c r="F24" s="18" t="s">
        <v>7</v>
      </c>
      <c r="G24" s="20"/>
      <c r="H24" s="42">
        <v>4404086.67</v>
      </c>
      <c r="I24" s="15">
        <v>319</v>
      </c>
      <c r="J24" s="49" t="e">
        <f>(I24-F24)/F24</f>
        <v>#VALUE!</v>
      </c>
      <c r="K24" s="42">
        <v>4404086.67</v>
      </c>
      <c r="L24" s="15">
        <v>319</v>
      </c>
      <c r="M24" s="49">
        <f>(L24-I24)/I24</f>
        <v>0</v>
      </c>
    </row>
    <row r="25" spans="1:13" s="7" customFormat="1" ht="19.95" customHeight="1" thickBot="1" x14ac:dyDescent="0.35">
      <c r="A25" s="33" t="s">
        <v>27</v>
      </c>
      <c r="B25" s="34"/>
      <c r="C25" s="35"/>
      <c r="D25" s="35"/>
      <c r="E25" s="43">
        <f>SUM(E23:E24)</f>
        <v>0</v>
      </c>
      <c r="F25" s="34">
        <f>SUM(F23:F24)</f>
        <v>0</v>
      </c>
      <c r="G25" s="36" t="s">
        <v>28</v>
      </c>
      <c r="H25" s="43">
        <f>SUM(H23:H24)</f>
        <v>106959156.24999999</v>
      </c>
      <c r="I25" s="34">
        <f>SUM(I23:I24)</f>
        <v>5129</v>
      </c>
      <c r="J25" s="49" t="e">
        <f>(I25-F25)/F25</f>
        <v>#DIV/0!</v>
      </c>
      <c r="K25" s="43">
        <f>SUM(K23:K24)</f>
        <v>106959156.24999999</v>
      </c>
      <c r="L25" s="34">
        <f>SUM(L23:L24)</f>
        <v>5129</v>
      </c>
      <c r="M25" s="49">
        <f>(L25-I25)/I25</f>
        <v>0</v>
      </c>
    </row>
    <row r="26" spans="1:13" s="7" customFormat="1" ht="22.2" customHeight="1" thickTop="1" thickBot="1" x14ac:dyDescent="0.35">
      <c r="A26" s="37" t="s">
        <v>26</v>
      </c>
      <c r="B26" s="38"/>
      <c r="C26" s="39"/>
      <c r="D26" s="39"/>
      <c r="E26" s="46">
        <f>E25+E20</f>
        <v>214612150</v>
      </c>
      <c r="F26" s="38">
        <f>F25+F20</f>
        <v>116163</v>
      </c>
      <c r="G26" s="36" t="s">
        <v>28</v>
      </c>
      <c r="H26" s="46">
        <f>H25+H20</f>
        <v>606654219.25</v>
      </c>
      <c r="I26" s="38">
        <f>I25+I20</f>
        <v>117903</v>
      </c>
      <c r="J26" s="50">
        <f>(I26-F26)/F26</f>
        <v>1.4978951989876295E-2</v>
      </c>
      <c r="K26" s="46">
        <f>K25+K20</f>
        <v>606654219.25</v>
      </c>
      <c r="L26" s="38">
        <f>L25+L20</f>
        <v>117903</v>
      </c>
      <c r="M26" s="50">
        <f>(L26-I26)/I26</f>
        <v>0</v>
      </c>
    </row>
    <row r="27" spans="1:13" ht="15" thickTop="1" x14ac:dyDescent="0.3"/>
  </sheetData>
  <mergeCells count="4">
    <mergeCell ref="B2:D2"/>
    <mergeCell ref="E2:G2"/>
    <mergeCell ref="H2:J2"/>
    <mergeCell ref="K2:M2"/>
  </mergeCells>
  <printOptions horizontalCentered="1"/>
  <pageMargins left="0.21" right="0.17" top="0.73" bottom="0.75" header="0.3" footer="0.3"/>
  <pageSetup orientation="landscape" r:id="rId1"/>
  <headerFooter>
    <oddHeader>&amp;C&amp;24Fixed Asset Shared Services Statistical Trends as of 12/31/09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P78"/>
  <sheetViews>
    <sheetView tabSelected="1" showWhiteSpace="0" zoomScale="82" zoomScaleNormal="82" zoomScaleSheetLayoutView="75" workbookViewId="0">
      <pane xSplit="2" ySplit="3" topLeftCell="BB4" activePane="bottomRight" state="frozen"/>
      <selection pane="topRight" activeCell="C1" sqref="C1"/>
      <selection pane="bottomLeft" activeCell="A4" sqref="A4"/>
      <selection pane="bottomRight" activeCell="BN19" sqref="BN19"/>
    </sheetView>
  </sheetViews>
  <sheetFormatPr defaultColWidth="9.33203125" defaultRowHeight="14.4" x14ac:dyDescent="0.3"/>
  <cols>
    <col min="1" max="1" width="5.33203125" style="82" customWidth="1"/>
    <col min="2" max="2" width="48.33203125" style="82" customWidth="1"/>
    <col min="3" max="3" width="14.33203125" style="83" customWidth="1"/>
    <col min="4" max="5" width="14.33203125" style="82" customWidth="1"/>
    <col min="6" max="6" width="22.6640625" style="84" customWidth="1"/>
    <col min="7" max="7" width="15.5546875" style="83" customWidth="1"/>
    <col min="8" max="8" width="0.33203125" style="85" customWidth="1"/>
    <col min="9" max="9" width="23.33203125" style="84" customWidth="1"/>
    <col min="10" max="10" width="18.44140625" style="83" customWidth="1"/>
    <col min="11" max="11" width="14.33203125" style="83" customWidth="1"/>
    <col min="12" max="12" width="17.33203125" style="77" customWidth="1"/>
    <col min="13" max="13" width="20.33203125" style="77" customWidth="1"/>
    <col min="14" max="14" width="12.5546875" style="77" customWidth="1"/>
    <col min="15" max="15" width="13" style="77" customWidth="1"/>
    <col min="16" max="16" width="22.6640625" style="84" customWidth="1"/>
    <col min="17" max="18" width="14.33203125" style="83" customWidth="1"/>
    <col min="19" max="19" width="8.6640625" style="77" customWidth="1"/>
    <col min="20" max="20" width="21.6640625" style="77" customWidth="1"/>
    <col min="21" max="21" width="16.44140625" style="77" customWidth="1"/>
    <col min="22" max="22" width="17.33203125" style="77" customWidth="1"/>
    <col min="23" max="23" width="16.33203125" style="77" customWidth="1"/>
    <col min="24" max="24" width="4.33203125" style="77" customWidth="1"/>
    <col min="25" max="25" width="15.33203125" style="77" bestFit="1" customWidth="1"/>
    <col min="26" max="26" width="22.6640625" style="84" customWidth="1"/>
    <col min="27" max="27" width="2.6640625" style="84" customWidth="1"/>
    <col min="28" max="28" width="13.33203125" style="83" bestFit="1" customWidth="1"/>
    <col min="29" max="29" width="17.33203125" style="82" customWidth="1"/>
    <col min="30" max="30" width="3.44140625" style="82" customWidth="1"/>
    <col min="31" max="31" width="9.33203125" style="82" customWidth="1"/>
    <col min="32" max="32" width="17.33203125" style="82" customWidth="1"/>
    <col min="33" max="33" width="3.6640625" style="82" customWidth="1"/>
    <col min="34" max="34" width="9.33203125" style="82" customWidth="1"/>
    <col min="35" max="35" width="17" style="82" customWidth="1"/>
    <col min="36" max="36" width="9.33203125" style="82" customWidth="1"/>
    <col min="37" max="37" width="9.33203125" style="82"/>
    <col min="38" max="38" width="17.6640625" style="82" customWidth="1"/>
    <col min="39" max="39" width="9.33203125" style="82" customWidth="1"/>
    <col min="40" max="40" width="14.88671875" style="82" customWidth="1"/>
    <col min="41" max="45" width="9.33203125" style="82" hidden="1" customWidth="1"/>
    <col min="46" max="46" width="17.44140625" style="82" customWidth="1"/>
    <col min="47" max="47" width="7.33203125" style="82" customWidth="1"/>
    <col min="48" max="48" width="15.109375" style="82" customWidth="1"/>
    <col min="49" max="49" width="17.44140625" style="82" customWidth="1"/>
    <col min="50" max="50" width="7.33203125" style="82" customWidth="1"/>
    <col min="51" max="51" width="15.109375" style="82" customWidth="1"/>
    <col min="52" max="52" width="17.44140625" style="82" customWidth="1"/>
    <col min="53" max="53" width="7.33203125" style="82" customWidth="1"/>
    <col min="54" max="54" width="15.109375" style="82" customWidth="1"/>
    <col min="55" max="55" width="17.44140625" style="82" customWidth="1"/>
    <col min="56" max="56" width="7.33203125" style="82" customWidth="1"/>
    <col min="57" max="57" width="15.109375" style="82" customWidth="1"/>
    <col min="58" max="58" width="17.44140625" style="82" customWidth="1"/>
    <col min="59" max="59" width="7.33203125" style="82" customWidth="1"/>
    <col min="60" max="60" width="15.109375" style="82" customWidth="1"/>
    <col min="61" max="61" width="19.6640625" style="82" bestFit="1" customWidth="1"/>
    <col min="62" max="62" width="9.33203125" style="82"/>
    <col min="63" max="63" width="11.6640625" style="82" customWidth="1"/>
    <col min="64" max="64" width="15.88671875" style="82" customWidth="1"/>
    <col min="65" max="65" width="9.33203125" style="82"/>
    <col min="66" max="66" width="9" style="82" customWidth="1"/>
    <col min="67" max="67" width="0.44140625" style="82" hidden="1" customWidth="1"/>
    <col min="68" max="16384" width="9.33203125" style="82"/>
  </cols>
  <sheetData>
    <row r="1" spans="2:68" ht="15" thickBot="1" x14ac:dyDescent="0.35"/>
    <row r="2" spans="2:68" ht="15.45" customHeight="1" x14ac:dyDescent="0.3">
      <c r="B2" s="279" t="s">
        <v>0</v>
      </c>
      <c r="C2" s="281" t="s">
        <v>1</v>
      </c>
      <c r="D2" s="281"/>
      <c r="E2" s="282"/>
      <c r="F2" s="283" t="s">
        <v>2</v>
      </c>
      <c r="G2" s="284"/>
      <c r="H2" s="294"/>
      <c r="I2" s="295" t="s">
        <v>3</v>
      </c>
      <c r="J2" s="296"/>
      <c r="K2" s="296"/>
      <c r="L2" s="297"/>
      <c r="M2" s="301" t="s">
        <v>44</v>
      </c>
      <c r="N2" s="302"/>
      <c r="O2" s="184"/>
      <c r="P2" s="291" t="s">
        <v>45</v>
      </c>
      <c r="Q2" s="292"/>
      <c r="R2" s="292"/>
      <c r="S2" s="293"/>
      <c r="T2" s="311" t="s">
        <v>46</v>
      </c>
      <c r="U2" s="312"/>
      <c r="V2" s="313"/>
      <c r="W2" s="305" t="s">
        <v>57</v>
      </c>
      <c r="X2" s="306"/>
      <c r="Y2" s="307"/>
      <c r="Z2" s="322" t="s">
        <v>58</v>
      </c>
      <c r="AA2" s="323"/>
      <c r="AB2" s="324"/>
      <c r="AC2" s="256" t="s">
        <v>72</v>
      </c>
      <c r="AD2" s="257"/>
      <c r="AE2" s="258"/>
      <c r="AF2" s="266" t="s">
        <v>73</v>
      </c>
      <c r="AG2" s="267"/>
      <c r="AH2" s="268"/>
      <c r="AI2" s="259" t="s">
        <v>85</v>
      </c>
      <c r="AJ2" s="260"/>
      <c r="AK2" s="261"/>
      <c r="AL2" s="329" t="s">
        <v>90</v>
      </c>
      <c r="AM2" s="330"/>
      <c r="AN2" s="331"/>
      <c r="AT2" s="311" t="s">
        <v>97</v>
      </c>
      <c r="AU2" s="312"/>
      <c r="AV2" s="325"/>
      <c r="AW2" s="341" t="s">
        <v>99</v>
      </c>
      <c r="AX2" s="342"/>
      <c r="AY2" s="343"/>
      <c r="AZ2" s="344" t="s">
        <v>104</v>
      </c>
      <c r="BA2" s="345"/>
      <c r="BB2" s="346"/>
      <c r="BC2" s="295" t="s">
        <v>106</v>
      </c>
      <c r="BD2" s="296"/>
      <c r="BE2" s="296"/>
      <c r="BF2" s="311" t="s">
        <v>107</v>
      </c>
      <c r="BG2" s="312"/>
      <c r="BH2" s="312"/>
      <c r="BI2" s="350" t="s">
        <v>115</v>
      </c>
      <c r="BJ2" s="351"/>
      <c r="BK2" s="351"/>
      <c r="BL2" s="348" t="s">
        <v>116</v>
      </c>
      <c r="BM2" s="349"/>
      <c r="BN2" s="349"/>
    </row>
    <row r="3" spans="2:68" s="93" customFormat="1" ht="45" customHeight="1" thickBot="1" x14ac:dyDescent="0.35">
      <c r="B3" s="280"/>
      <c r="C3" s="86" t="s">
        <v>5</v>
      </c>
      <c r="D3" s="87" t="s">
        <v>4</v>
      </c>
      <c r="E3" s="88" t="s">
        <v>9</v>
      </c>
      <c r="F3" s="89" t="s">
        <v>5</v>
      </c>
      <c r="G3" s="90" t="s">
        <v>4</v>
      </c>
      <c r="H3" s="91"/>
      <c r="I3" s="89" t="s">
        <v>5</v>
      </c>
      <c r="J3" s="90" t="s">
        <v>4</v>
      </c>
      <c r="K3" s="92" t="s">
        <v>39</v>
      </c>
      <c r="L3" s="92" t="s">
        <v>40</v>
      </c>
      <c r="M3" s="89" t="s">
        <v>5</v>
      </c>
      <c r="N3" s="90" t="s">
        <v>4</v>
      </c>
      <c r="O3" s="92" t="s">
        <v>40</v>
      </c>
      <c r="P3" s="89" t="s">
        <v>5</v>
      </c>
      <c r="Q3" s="90" t="s">
        <v>4</v>
      </c>
      <c r="R3" s="92" t="s">
        <v>39</v>
      </c>
      <c r="S3" s="92" t="s">
        <v>40</v>
      </c>
      <c r="T3" s="89" t="s">
        <v>5</v>
      </c>
      <c r="U3" s="89"/>
      <c r="V3" s="90" t="s">
        <v>4</v>
      </c>
      <c r="W3" s="89" t="s">
        <v>5</v>
      </c>
      <c r="X3" s="89"/>
      <c r="Y3" s="90" t="s">
        <v>4</v>
      </c>
      <c r="Z3" s="89" t="s">
        <v>5</v>
      </c>
      <c r="AA3" s="89"/>
      <c r="AB3" s="90" t="s">
        <v>4</v>
      </c>
      <c r="AC3" s="89" t="s">
        <v>5</v>
      </c>
      <c r="AD3" s="89"/>
      <c r="AE3" s="90" t="s">
        <v>4</v>
      </c>
      <c r="AF3" s="89" t="s">
        <v>5</v>
      </c>
      <c r="AG3" s="89"/>
      <c r="AH3" s="90" t="s">
        <v>4</v>
      </c>
      <c r="AI3" s="89" t="s">
        <v>5</v>
      </c>
      <c r="AJ3" s="89"/>
      <c r="AK3" s="90" t="s">
        <v>4</v>
      </c>
      <c r="AL3" s="89" t="s">
        <v>5</v>
      </c>
      <c r="AM3" s="89"/>
      <c r="AN3" s="90" t="s">
        <v>4</v>
      </c>
      <c r="AQ3" s="172" t="s">
        <v>81</v>
      </c>
      <c r="AR3" s="172" t="s">
        <v>82</v>
      </c>
      <c r="AS3" s="172" t="s">
        <v>83</v>
      </c>
      <c r="AT3" s="89" t="s">
        <v>5</v>
      </c>
      <c r="AU3" s="89"/>
      <c r="AV3" s="90" t="s">
        <v>4</v>
      </c>
      <c r="AW3" s="89" t="s">
        <v>5</v>
      </c>
      <c r="AX3" s="89"/>
      <c r="AY3" s="90" t="s">
        <v>4</v>
      </c>
      <c r="AZ3" s="89" t="s">
        <v>5</v>
      </c>
      <c r="BA3" s="89"/>
      <c r="BB3" s="90" t="s">
        <v>4</v>
      </c>
      <c r="BC3" s="89" t="s">
        <v>5</v>
      </c>
      <c r="BD3" s="89"/>
      <c r="BE3" s="205" t="s">
        <v>4</v>
      </c>
      <c r="BF3" s="89" t="s">
        <v>5</v>
      </c>
      <c r="BG3" s="89"/>
      <c r="BH3" s="208" t="s">
        <v>4</v>
      </c>
      <c r="BI3" s="89" t="s">
        <v>5</v>
      </c>
      <c r="BJ3" s="89"/>
      <c r="BK3" s="212" t="s">
        <v>4</v>
      </c>
      <c r="BL3" s="89" t="s">
        <v>5</v>
      </c>
      <c r="BM3" s="89"/>
      <c r="BN3" s="212" t="s">
        <v>4</v>
      </c>
    </row>
    <row r="4" spans="2:68" x14ac:dyDescent="0.3">
      <c r="B4" s="94" t="s">
        <v>8</v>
      </c>
      <c r="C4" s="15">
        <v>1189341666</v>
      </c>
      <c r="D4" s="6">
        <v>4844</v>
      </c>
      <c r="E4" s="95" t="s">
        <v>7</v>
      </c>
      <c r="F4" s="71">
        <v>674776838.83000004</v>
      </c>
      <c r="G4" s="15">
        <v>6249</v>
      </c>
      <c r="H4" s="19"/>
      <c r="I4" s="71">
        <v>735274639.35000002</v>
      </c>
      <c r="J4" s="15">
        <v>5622</v>
      </c>
      <c r="K4" s="49">
        <f>(I4-F4)/F4</f>
        <v>8.9656012237908922E-2</v>
      </c>
      <c r="L4" s="49">
        <f t="shared" ref="L4:L14" si="0">(J4-G4)/G4</f>
        <v>-0.10033605376860298</v>
      </c>
      <c r="M4" s="71">
        <v>462298669</v>
      </c>
      <c r="N4" s="15">
        <v>3151</v>
      </c>
      <c r="O4" s="49">
        <f>(N4-J4)/J4</f>
        <v>-0.43952330131625755</v>
      </c>
      <c r="P4" s="71">
        <v>275110296</v>
      </c>
      <c r="Q4" s="15">
        <v>3448</v>
      </c>
      <c r="R4" s="49"/>
      <c r="S4" s="49">
        <f>(Q4-N4)/N4</f>
        <v>9.4255791812123138E-2</v>
      </c>
      <c r="T4" s="133">
        <v>320775907</v>
      </c>
      <c r="U4" s="139" t="s">
        <v>48</v>
      </c>
      <c r="V4" s="136">
        <v>3655</v>
      </c>
      <c r="W4" s="133">
        <v>632507009.44800007</v>
      </c>
      <c r="X4" s="131" t="s">
        <v>48</v>
      </c>
      <c r="Y4" s="15">
        <v>3422.4</v>
      </c>
      <c r="Z4" s="159">
        <v>483407548.11000001</v>
      </c>
      <c r="AA4" s="131" t="s">
        <v>48</v>
      </c>
      <c r="AB4" s="15">
        <v>5014</v>
      </c>
      <c r="AC4" s="159">
        <v>787255632.59000003</v>
      </c>
      <c r="AD4" s="139" t="s">
        <v>48</v>
      </c>
      <c r="AE4" s="136">
        <v>6006</v>
      </c>
      <c r="AF4" s="159">
        <v>570314906.52999997</v>
      </c>
      <c r="AG4" s="139" t="s">
        <v>48</v>
      </c>
      <c r="AH4" s="136">
        <v>6472</v>
      </c>
      <c r="AI4" s="159">
        <v>361085592.19999999</v>
      </c>
      <c r="AJ4" s="131"/>
      <c r="AK4" s="15">
        <v>9323</v>
      </c>
      <c r="AL4" s="159">
        <v>516974692.73000002</v>
      </c>
      <c r="AM4" s="131"/>
      <c r="AN4" s="15">
        <v>7086</v>
      </c>
      <c r="AO4" s="82" t="s">
        <v>87</v>
      </c>
      <c r="AQ4" s="82">
        <f>9323/60</f>
        <v>155.38333333333333</v>
      </c>
      <c r="AR4" s="82">
        <f>155/6</f>
        <v>25.833333333333332</v>
      </c>
      <c r="AS4" s="82">
        <f>+AR4/4</f>
        <v>6.458333333333333</v>
      </c>
      <c r="AT4" s="159">
        <v>514889974.93000001</v>
      </c>
      <c r="AU4" s="131"/>
      <c r="AV4" s="15">
        <v>6812</v>
      </c>
      <c r="AW4" s="159">
        <v>457256813.60000002</v>
      </c>
      <c r="AX4" s="131"/>
      <c r="AY4" s="15">
        <v>6078</v>
      </c>
      <c r="AZ4" s="159">
        <v>658193476.55999994</v>
      </c>
      <c r="BA4" s="131"/>
      <c r="BB4" s="15">
        <v>2112</v>
      </c>
      <c r="BC4" s="159">
        <v>998216855.17999995</v>
      </c>
      <c r="BD4" s="131"/>
      <c r="BE4" s="15">
        <v>5184</v>
      </c>
      <c r="BF4" s="159">
        <v>922902214.52999997</v>
      </c>
      <c r="BG4" s="131"/>
      <c r="BH4" s="15">
        <v>5059</v>
      </c>
      <c r="BI4" s="159">
        <v>730599902.11000001</v>
      </c>
      <c r="BJ4" s="131"/>
      <c r="BK4" s="15">
        <v>4892</v>
      </c>
      <c r="BL4" s="159">
        <v>3312997349.6999998</v>
      </c>
      <c r="BM4" s="131"/>
      <c r="BN4" s="15">
        <v>4631</v>
      </c>
      <c r="BO4" s="82" t="s">
        <v>87</v>
      </c>
    </row>
    <row r="5" spans="2:68" x14ac:dyDescent="0.3">
      <c r="B5" s="6" t="s">
        <v>33</v>
      </c>
      <c r="C5" s="15"/>
      <c r="D5" s="6"/>
      <c r="E5" s="95"/>
      <c r="F5" s="71">
        <v>88404764.900000006</v>
      </c>
      <c r="G5" s="75" t="s">
        <v>32</v>
      </c>
      <c r="H5" s="19"/>
      <c r="I5" s="71">
        <v>241815918.31999999</v>
      </c>
      <c r="J5" s="75" t="s">
        <v>32</v>
      </c>
      <c r="K5" s="49">
        <f>(I5-F5)/F5</f>
        <v>1.7353267506964432</v>
      </c>
      <c r="L5" s="75" t="s">
        <v>32</v>
      </c>
      <c r="M5" s="75">
        <v>153348029</v>
      </c>
      <c r="N5" s="75" t="s">
        <v>32</v>
      </c>
      <c r="O5" s="75" t="s">
        <v>32</v>
      </c>
      <c r="P5" s="71">
        <v>56080854</v>
      </c>
      <c r="Q5" s="75" t="s">
        <v>32</v>
      </c>
      <c r="R5" s="75" t="s">
        <v>32</v>
      </c>
      <c r="S5" s="75" t="s">
        <v>32</v>
      </c>
      <c r="T5" s="133">
        <v>266723801.88</v>
      </c>
      <c r="U5" s="139" t="s">
        <v>48</v>
      </c>
      <c r="V5" s="134"/>
      <c r="W5" s="133">
        <v>223010459.41999999</v>
      </c>
      <c r="X5" s="131" t="s">
        <v>48</v>
      </c>
      <c r="Y5" s="75"/>
      <c r="Z5" s="159">
        <v>450717505.44999999</v>
      </c>
      <c r="AA5" s="131" t="s">
        <v>48</v>
      </c>
      <c r="AB5" s="75"/>
      <c r="AC5" s="159">
        <v>526726023.52999997</v>
      </c>
      <c r="AD5" s="139" t="s">
        <v>48</v>
      </c>
      <c r="AE5" s="134"/>
      <c r="AF5" s="159">
        <v>273751642.14999998</v>
      </c>
      <c r="AG5" s="139" t="s">
        <v>48</v>
      </c>
      <c r="AH5" s="134"/>
      <c r="AI5" s="159">
        <v>451608700.10000002</v>
      </c>
      <c r="AJ5" s="131"/>
      <c r="AK5" s="75"/>
      <c r="AL5" s="159">
        <v>498101826.75</v>
      </c>
      <c r="AM5" s="131"/>
      <c r="AN5" s="75"/>
      <c r="AO5" s="82" t="s">
        <v>87</v>
      </c>
      <c r="AT5" s="159">
        <v>394272487.88</v>
      </c>
      <c r="AU5" s="131"/>
      <c r="AV5" s="75"/>
      <c r="AW5" s="159">
        <v>373976394.00999999</v>
      </c>
      <c r="AX5" s="131"/>
      <c r="AY5" s="75"/>
      <c r="AZ5" s="159">
        <v>207978161.77000001</v>
      </c>
      <c r="BA5" s="131"/>
      <c r="BB5" s="75"/>
      <c r="BC5" s="159">
        <v>430815130.37999994</v>
      </c>
      <c r="BD5" s="131"/>
      <c r="BE5" s="75"/>
      <c r="BF5" s="159">
        <v>460418158.89999968</v>
      </c>
      <c r="BG5" s="131"/>
      <c r="BH5" s="75"/>
      <c r="BI5" s="159">
        <v>631004947.66999996</v>
      </c>
      <c r="BJ5" s="131"/>
      <c r="BK5" s="75"/>
      <c r="BL5" s="159">
        <v>1272890775.4200001</v>
      </c>
      <c r="BM5" s="131"/>
      <c r="BN5" s="75"/>
      <c r="BO5" s="82" t="s">
        <v>87</v>
      </c>
    </row>
    <row r="6" spans="2:68" x14ac:dyDescent="0.3">
      <c r="B6" s="6" t="s">
        <v>13</v>
      </c>
      <c r="C6" s="18" t="s">
        <v>7</v>
      </c>
      <c r="D6" s="18" t="s">
        <v>7</v>
      </c>
      <c r="E6" s="18" t="s">
        <v>7</v>
      </c>
      <c r="F6" s="71">
        <v>443004822.81</v>
      </c>
      <c r="G6" s="15">
        <v>6894</v>
      </c>
      <c r="H6" s="20"/>
      <c r="I6" s="71">
        <v>616076301.46000004</v>
      </c>
      <c r="J6" s="15">
        <v>8692</v>
      </c>
      <c r="K6" s="49">
        <f>(I6-F6)/F6</f>
        <v>0.39067628553612505</v>
      </c>
      <c r="L6" s="49">
        <f>(J6-G6)/G6</f>
        <v>0.26080649840440961</v>
      </c>
      <c r="M6" s="71">
        <f>233145641+117900469</f>
        <v>351046110</v>
      </c>
      <c r="N6" s="15">
        <f>6114+2908</f>
        <v>9022</v>
      </c>
      <c r="O6" s="49">
        <f>(N6-J6)/J6</f>
        <v>3.7965945697192818E-2</v>
      </c>
      <c r="P6" s="71">
        <v>254739686.19999999</v>
      </c>
      <c r="Q6" s="15">
        <v>8147</v>
      </c>
      <c r="R6" s="49"/>
      <c r="S6" s="49">
        <f>(Q6-N6)/N6</f>
        <v>-9.6985147417424075E-2</v>
      </c>
      <c r="T6" s="133">
        <v>496922531.23000002</v>
      </c>
      <c r="U6" s="133"/>
      <c r="V6" s="136">
        <v>11252</v>
      </c>
      <c r="W6" s="133">
        <v>270307004.11000001</v>
      </c>
      <c r="X6" s="71"/>
      <c r="Y6" s="15">
        <v>9931</v>
      </c>
      <c r="Z6" s="133">
        <v>413075126.56</v>
      </c>
      <c r="AA6" s="71"/>
      <c r="AB6" s="15">
        <v>9047</v>
      </c>
      <c r="AC6" s="159">
        <v>289581607.88999999</v>
      </c>
      <c r="AD6" s="159"/>
      <c r="AE6" s="136">
        <v>7907</v>
      </c>
      <c r="AF6" s="159">
        <v>513164430.61000001</v>
      </c>
      <c r="AG6" s="159"/>
      <c r="AH6" s="136">
        <v>9787</v>
      </c>
      <c r="AI6" s="159">
        <v>431939055.31999999</v>
      </c>
      <c r="AJ6" s="71"/>
      <c r="AK6" s="15">
        <v>8996</v>
      </c>
      <c r="AL6" s="159">
        <v>385350403.47000003</v>
      </c>
      <c r="AM6" s="159"/>
      <c r="AN6" s="136">
        <v>8987</v>
      </c>
      <c r="AO6" s="82" t="s">
        <v>78</v>
      </c>
      <c r="AT6" s="159">
        <v>452676432.08999997</v>
      </c>
      <c r="AU6" s="159"/>
      <c r="AV6" s="136">
        <v>6534</v>
      </c>
      <c r="AW6" s="159">
        <v>507242287.16000003</v>
      </c>
      <c r="AX6" s="159"/>
      <c r="AY6" s="136">
        <v>6281</v>
      </c>
      <c r="AZ6" s="159">
        <v>319408575.73999655</v>
      </c>
      <c r="BA6" s="159"/>
      <c r="BB6" s="136">
        <v>6486</v>
      </c>
      <c r="BC6" s="159">
        <v>307508759.33999997</v>
      </c>
      <c r="BD6" s="159"/>
      <c r="BE6" s="136">
        <v>4485</v>
      </c>
      <c r="BF6" s="159">
        <v>406612049.41000003</v>
      </c>
      <c r="BG6" s="159"/>
      <c r="BH6" s="136">
        <v>6526</v>
      </c>
      <c r="BI6" s="159">
        <v>1215465939.02</v>
      </c>
      <c r="BJ6" s="159"/>
      <c r="BK6" s="136">
        <v>8404</v>
      </c>
      <c r="BL6" s="159">
        <v>456527676.38</v>
      </c>
      <c r="BM6" s="159"/>
      <c r="BN6" s="136">
        <v>5843</v>
      </c>
      <c r="BO6" s="82" t="s">
        <v>78</v>
      </c>
    </row>
    <row r="7" spans="2:68" x14ac:dyDescent="0.3">
      <c r="B7" s="6" t="s">
        <v>62</v>
      </c>
      <c r="C7" s="18"/>
      <c r="D7" s="18"/>
      <c r="E7" s="18"/>
      <c r="F7" s="72">
        <f>131365673+78074379</f>
        <v>209440052</v>
      </c>
      <c r="G7" s="75" t="s">
        <v>32</v>
      </c>
      <c r="H7" s="20"/>
      <c r="I7" s="72">
        <f>147740967+122434410</f>
        <v>270175377</v>
      </c>
      <c r="J7" s="75" t="s">
        <v>32</v>
      </c>
      <c r="K7" s="49">
        <f>(I7-F7)/F7</f>
        <v>0.28998906570172167</v>
      </c>
      <c r="L7" s="75" t="s">
        <v>32</v>
      </c>
      <c r="M7" s="75">
        <v>181198287.03999999</v>
      </c>
      <c r="N7" s="80">
        <v>0</v>
      </c>
      <c r="O7" s="75" t="s">
        <v>32</v>
      </c>
      <c r="P7" s="75">
        <v>154019287</v>
      </c>
      <c r="Q7" s="80">
        <v>0</v>
      </c>
      <c r="R7" s="75" t="s">
        <v>32</v>
      </c>
      <c r="S7" s="80">
        <v>0</v>
      </c>
      <c r="T7" s="134">
        <v>168085909</v>
      </c>
      <c r="U7" s="134"/>
      <c r="V7" s="135">
        <v>0</v>
      </c>
      <c r="W7" s="134">
        <v>169921346.74000004</v>
      </c>
      <c r="X7" s="75"/>
      <c r="Y7" s="80"/>
      <c r="Z7" s="134">
        <v>146955417.52999991</v>
      </c>
      <c r="AA7" s="75"/>
      <c r="AB7" s="80"/>
      <c r="AC7" s="134">
        <v>240617666.44999999</v>
      </c>
      <c r="AD7" s="134"/>
      <c r="AE7" s="135"/>
      <c r="AF7" s="134">
        <v>185867889.61000001</v>
      </c>
      <c r="AG7" s="134"/>
      <c r="AH7" s="135"/>
      <c r="AI7" s="134">
        <v>334768254.93000001</v>
      </c>
      <c r="AJ7" s="75"/>
      <c r="AK7" s="80"/>
      <c r="AL7" s="134">
        <v>595713219.20000005</v>
      </c>
      <c r="AM7" s="134"/>
      <c r="AN7" s="135"/>
      <c r="AO7" s="82" t="s">
        <v>78</v>
      </c>
      <c r="AT7" s="134">
        <v>541128367.48000002</v>
      </c>
      <c r="AU7" s="134"/>
      <c r="AV7" s="135"/>
      <c r="AW7" s="134">
        <v>699322736.84000003</v>
      </c>
      <c r="AX7" s="134"/>
      <c r="AY7" s="135"/>
      <c r="AZ7" s="134">
        <v>561954683.24000001</v>
      </c>
      <c r="BA7" s="134"/>
      <c r="BB7" s="135"/>
      <c r="BC7" s="134">
        <v>808884595.48000002</v>
      </c>
      <c r="BD7" s="134"/>
      <c r="BE7" s="135"/>
      <c r="BF7" s="134">
        <v>1151186806.24</v>
      </c>
      <c r="BG7" s="134"/>
      <c r="BH7" s="135"/>
      <c r="BI7" s="134">
        <v>796770899.55999994</v>
      </c>
      <c r="BJ7" s="134"/>
      <c r="BK7" s="135"/>
      <c r="BL7" s="134">
        <v>1242816931.3399999</v>
      </c>
      <c r="BM7" s="134"/>
      <c r="BN7" s="135"/>
      <c r="BO7" s="82" t="s">
        <v>78</v>
      </c>
    </row>
    <row r="8" spans="2:68" x14ac:dyDescent="0.3">
      <c r="B8" s="6" t="s">
        <v>103</v>
      </c>
      <c r="C8" s="18" t="s">
        <v>7</v>
      </c>
      <c r="D8" s="6">
        <v>2759</v>
      </c>
      <c r="E8" s="95" t="s">
        <v>7</v>
      </c>
      <c r="F8" s="75" t="s">
        <v>32</v>
      </c>
      <c r="G8" s="15">
        <v>1791</v>
      </c>
      <c r="H8" s="19"/>
      <c r="I8" s="75" t="s">
        <v>32</v>
      </c>
      <c r="J8" s="15">
        <v>4388</v>
      </c>
      <c r="K8" s="75" t="s">
        <v>32</v>
      </c>
      <c r="L8" s="49">
        <f t="shared" si="0"/>
        <v>1.4500279173646007</v>
      </c>
      <c r="M8" s="80">
        <v>0</v>
      </c>
      <c r="N8" s="15">
        <v>4460</v>
      </c>
      <c r="O8" s="49">
        <f t="shared" ref="O8:O14" si="1">(N8-J8)/J8</f>
        <v>1.6408386508659983E-2</v>
      </c>
      <c r="P8" s="80">
        <v>0</v>
      </c>
      <c r="Q8" s="15">
        <v>7812</v>
      </c>
      <c r="R8" s="75"/>
      <c r="S8" s="49">
        <f>(Q8-N8)/N8</f>
        <v>0.75156950672645739</v>
      </c>
      <c r="T8" s="135"/>
      <c r="U8" s="135"/>
      <c r="V8" s="136">
        <f>'[1]Purchase Order Detail'!$M$4473</f>
        <v>4471</v>
      </c>
      <c r="W8" s="135"/>
      <c r="X8" s="80"/>
      <c r="Y8" s="15">
        <f>'[2]Purchase Order Detail'!$M$1562</f>
        <v>4668</v>
      </c>
      <c r="Z8" s="135"/>
      <c r="AA8" s="80"/>
      <c r="AB8" s="15">
        <f>3260+800</f>
        <v>4060</v>
      </c>
      <c r="AC8" s="135"/>
      <c r="AD8" s="135"/>
      <c r="AE8" s="136">
        <v>4350</v>
      </c>
      <c r="AF8" s="135"/>
      <c r="AG8" s="135"/>
      <c r="AH8" s="135">
        <v>3909</v>
      </c>
      <c r="AI8" s="135">
        <v>44317029.770000003</v>
      </c>
      <c r="AJ8" s="80"/>
      <c r="AK8" s="80">
        <v>4442</v>
      </c>
      <c r="AL8" s="134">
        <v>37823745.469999999</v>
      </c>
      <c r="AM8" s="80"/>
      <c r="AN8" s="80">
        <v>6060</v>
      </c>
      <c r="AO8" s="82" t="s">
        <v>95</v>
      </c>
      <c r="AT8" s="134"/>
      <c r="AU8" s="80"/>
      <c r="AV8" s="80">
        <v>6274</v>
      </c>
      <c r="AW8" s="134">
        <v>42790117.479999997</v>
      </c>
      <c r="AX8" s="80"/>
      <c r="AY8" s="80">
        <v>3524</v>
      </c>
      <c r="AZ8" s="134">
        <v>65682640.729999997</v>
      </c>
      <c r="BA8" s="80"/>
      <c r="BB8" s="80">
        <v>4479</v>
      </c>
      <c r="BC8" s="134">
        <v>68858034</v>
      </c>
      <c r="BD8" s="80"/>
      <c r="BE8" s="80">
        <v>3816</v>
      </c>
      <c r="BF8" s="134">
        <v>66293211</v>
      </c>
      <c r="BG8" s="80"/>
      <c r="BH8" s="80">
        <v>4719</v>
      </c>
      <c r="BI8" s="134">
        <v>98850158.269999996</v>
      </c>
      <c r="BJ8" s="80"/>
      <c r="BK8" s="80">
        <v>5833</v>
      </c>
      <c r="BL8" s="134">
        <v>84553903</v>
      </c>
      <c r="BM8" s="80"/>
      <c r="BN8" s="80">
        <v>5970</v>
      </c>
      <c r="BO8" s="82" t="s">
        <v>95</v>
      </c>
      <c r="BP8" s="82" t="s">
        <v>122</v>
      </c>
    </row>
    <row r="9" spans="2:68" x14ac:dyDescent="0.3">
      <c r="B9" s="6" t="s">
        <v>34</v>
      </c>
      <c r="C9" s="18"/>
      <c r="D9" s="6"/>
      <c r="E9" s="95"/>
      <c r="F9" s="75" t="s">
        <v>32</v>
      </c>
      <c r="G9" s="15">
        <v>623</v>
      </c>
      <c r="H9" s="19"/>
      <c r="I9" s="75" t="s">
        <v>32</v>
      </c>
      <c r="J9" s="15">
        <v>604</v>
      </c>
      <c r="K9" s="75" t="s">
        <v>32</v>
      </c>
      <c r="L9" s="49">
        <f t="shared" si="0"/>
        <v>-3.0497592295345103E-2</v>
      </c>
      <c r="M9" s="80">
        <v>0</v>
      </c>
      <c r="N9" s="15">
        <v>523</v>
      </c>
      <c r="O9" s="49">
        <f t="shared" si="1"/>
        <v>-0.13410596026490065</v>
      </c>
      <c r="P9" s="80">
        <v>0</v>
      </c>
      <c r="Q9" s="15">
        <v>572</v>
      </c>
      <c r="R9" s="75"/>
      <c r="S9" s="49">
        <f>(Q9-N9)/N9</f>
        <v>9.3690248565965584E-2</v>
      </c>
      <c r="T9" s="135"/>
      <c r="U9" s="135"/>
      <c r="V9" s="136">
        <v>601</v>
      </c>
      <c r="W9" s="135"/>
      <c r="X9" s="80"/>
      <c r="Y9" s="15">
        <v>732</v>
      </c>
      <c r="Z9" s="135"/>
      <c r="AA9" s="80"/>
      <c r="AB9" s="15">
        <v>842</v>
      </c>
      <c r="AC9" s="135"/>
      <c r="AD9" s="135"/>
      <c r="AE9" s="136">
        <v>1062</v>
      </c>
      <c r="AF9" s="135"/>
      <c r="AG9" s="135"/>
      <c r="AH9" s="136">
        <v>1107</v>
      </c>
      <c r="AI9" s="135"/>
      <c r="AJ9" s="80"/>
      <c r="AK9" s="15">
        <v>1436</v>
      </c>
      <c r="AL9" s="135"/>
      <c r="AM9" s="80"/>
      <c r="AN9" s="15">
        <v>1284</v>
      </c>
      <c r="AO9" s="82" t="s">
        <v>87</v>
      </c>
      <c r="AT9" s="135"/>
      <c r="AU9" s="80"/>
      <c r="AV9" s="15">
        <v>1284</v>
      </c>
      <c r="AW9" s="135"/>
      <c r="AX9" s="80"/>
      <c r="AY9" s="15">
        <v>1017</v>
      </c>
      <c r="AZ9" s="135"/>
      <c r="BA9" s="80"/>
      <c r="BB9" s="15">
        <v>639</v>
      </c>
      <c r="BC9" s="135"/>
      <c r="BD9" s="80"/>
      <c r="BE9" s="15">
        <v>1100</v>
      </c>
      <c r="BF9" s="135"/>
      <c r="BG9" s="80"/>
      <c r="BH9" s="15">
        <v>1073</v>
      </c>
      <c r="BI9" s="135"/>
      <c r="BJ9" s="80"/>
      <c r="BK9" s="15">
        <v>1142</v>
      </c>
      <c r="BL9" s="135"/>
      <c r="BM9" s="80"/>
      <c r="BN9" s="15">
        <v>955</v>
      </c>
      <c r="BO9" s="82" t="s">
        <v>87</v>
      </c>
    </row>
    <row r="10" spans="2:68" x14ac:dyDescent="0.3">
      <c r="B10" s="6" t="s">
        <v>12</v>
      </c>
      <c r="C10" s="18" t="s">
        <v>7</v>
      </c>
      <c r="D10" s="18" t="s">
        <v>7</v>
      </c>
      <c r="E10" s="18" t="s">
        <v>7</v>
      </c>
      <c r="F10" s="75" t="s">
        <v>32</v>
      </c>
      <c r="G10" s="15">
        <v>438</v>
      </c>
      <c r="H10" s="20"/>
      <c r="I10" s="75" t="s">
        <v>32</v>
      </c>
      <c r="J10" s="15">
        <v>674</v>
      </c>
      <c r="K10" s="75" t="s">
        <v>32</v>
      </c>
      <c r="L10" s="49">
        <f t="shared" si="0"/>
        <v>0.53881278538812782</v>
      </c>
      <c r="M10" s="80">
        <v>0</v>
      </c>
      <c r="N10" s="15">
        <f>358+233</f>
        <v>591</v>
      </c>
      <c r="O10" s="49">
        <f t="shared" si="1"/>
        <v>-0.12314540059347182</v>
      </c>
      <c r="P10" s="80">
        <v>0</v>
      </c>
      <c r="Q10" s="15">
        <v>521</v>
      </c>
      <c r="R10" s="75"/>
      <c r="S10" s="49">
        <f>(Q10-N10)/N10</f>
        <v>-0.11844331641285956</v>
      </c>
      <c r="T10" s="135"/>
      <c r="U10" s="135"/>
      <c r="V10" s="136">
        <v>912</v>
      </c>
      <c r="W10" s="135"/>
      <c r="X10" s="80"/>
      <c r="Y10" s="15">
        <v>1209</v>
      </c>
      <c r="Z10" s="135"/>
      <c r="AA10" s="80"/>
      <c r="AB10" s="15">
        <v>1085</v>
      </c>
      <c r="AC10" s="135"/>
      <c r="AD10" s="135"/>
      <c r="AE10" s="136">
        <v>1243</v>
      </c>
      <c r="AF10" s="135"/>
      <c r="AG10" s="135"/>
      <c r="AH10" s="136">
        <v>1373</v>
      </c>
      <c r="AI10" s="135"/>
      <c r="AJ10" s="80"/>
      <c r="AK10" s="15">
        <v>1655</v>
      </c>
      <c r="AL10" s="135"/>
      <c r="AM10" s="80"/>
      <c r="AN10" s="136">
        <v>1290</v>
      </c>
      <c r="AO10" s="82" t="s">
        <v>78</v>
      </c>
      <c r="AT10" s="135"/>
      <c r="AU10" s="80"/>
      <c r="AV10" s="136">
        <v>2019</v>
      </c>
      <c r="AW10" s="135"/>
      <c r="AX10" s="80"/>
      <c r="AY10" s="136">
        <v>1310</v>
      </c>
      <c r="AZ10" s="135"/>
      <c r="BA10" s="80"/>
      <c r="BB10" s="136">
        <v>1217</v>
      </c>
      <c r="BC10" s="135"/>
      <c r="BD10" s="80"/>
      <c r="BE10" s="136">
        <v>1067</v>
      </c>
      <c r="BF10" s="135"/>
      <c r="BG10" s="80"/>
      <c r="BH10" s="136">
        <v>1657</v>
      </c>
      <c r="BI10" s="135"/>
      <c r="BJ10" s="80"/>
      <c r="BK10" s="136">
        <v>1575</v>
      </c>
      <c r="BL10" s="135"/>
      <c r="BM10" s="80"/>
      <c r="BN10" s="136">
        <v>2113</v>
      </c>
      <c r="BO10" s="82" t="s">
        <v>78</v>
      </c>
    </row>
    <row r="11" spans="2:68" x14ac:dyDescent="0.3">
      <c r="B11" s="6" t="s">
        <v>22</v>
      </c>
      <c r="C11" s="18" t="s">
        <v>7</v>
      </c>
      <c r="D11" s="18" t="s">
        <v>7</v>
      </c>
      <c r="E11" s="18" t="s">
        <v>7</v>
      </c>
      <c r="F11" s="75" t="s">
        <v>32</v>
      </c>
      <c r="G11" s="15">
        <v>246</v>
      </c>
      <c r="H11" s="20"/>
      <c r="I11" s="75" t="s">
        <v>32</v>
      </c>
      <c r="J11" s="15">
        <v>391</v>
      </c>
      <c r="K11" s="75" t="s">
        <v>32</v>
      </c>
      <c r="L11" s="49">
        <f t="shared" si="0"/>
        <v>0.58943089430894313</v>
      </c>
      <c r="M11" s="80">
        <v>0</v>
      </c>
      <c r="N11" s="15">
        <v>222</v>
      </c>
      <c r="O11" s="49">
        <f t="shared" si="1"/>
        <v>-0.43222506393861893</v>
      </c>
      <c r="P11" s="80">
        <v>0</v>
      </c>
      <c r="Q11" s="15">
        <v>156</v>
      </c>
      <c r="R11" s="75"/>
      <c r="S11" s="49"/>
      <c r="T11" s="135"/>
      <c r="U11" s="135"/>
      <c r="V11" s="136">
        <v>247</v>
      </c>
      <c r="W11" s="135"/>
      <c r="X11" s="80"/>
      <c r="Y11" s="15">
        <v>240</v>
      </c>
      <c r="Z11" s="135"/>
      <c r="AA11" s="80"/>
      <c r="AB11" s="15">
        <v>120</v>
      </c>
      <c r="AC11" s="135"/>
      <c r="AD11" s="135"/>
      <c r="AE11" s="136">
        <v>328</v>
      </c>
      <c r="AF11" s="135"/>
      <c r="AG11" s="135"/>
      <c r="AH11" s="136">
        <v>924</v>
      </c>
      <c r="AI11" s="135"/>
      <c r="AJ11" s="80"/>
      <c r="AK11" s="15">
        <v>856</v>
      </c>
      <c r="AL11" s="135"/>
      <c r="AM11" s="80"/>
      <c r="AN11" s="15">
        <v>770</v>
      </c>
      <c r="AO11" s="82" t="s">
        <v>92</v>
      </c>
      <c r="AT11" s="135"/>
      <c r="AU11" s="80"/>
      <c r="AV11" s="15">
        <v>305</v>
      </c>
      <c r="AW11" s="135"/>
      <c r="AX11" s="80"/>
      <c r="AY11" s="15">
        <v>550</v>
      </c>
      <c r="AZ11" s="135"/>
      <c r="BA11" s="80"/>
      <c r="BB11" s="15">
        <v>493</v>
      </c>
      <c r="BC11" s="135"/>
      <c r="BD11" s="80"/>
      <c r="BE11" s="15">
        <v>857</v>
      </c>
      <c r="BF11" s="135"/>
      <c r="BG11" s="80"/>
      <c r="BH11" s="15">
        <v>461</v>
      </c>
      <c r="BI11" s="135"/>
      <c r="BJ11" s="80"/>
      <c r="BK11" s="15">
        <v>332</v>
      </c>
      <c r="BL11" s="135"/>
      <c r="BM11" s="80"/>
      <c r="BN11" s="15">
        <v>410</v>
      </c>
      <c r="BO11" s="82" t="s">
        <v>95</v>
      </c>
    </row>
    <row r="12" spans="2:68" x14ac:dyDescent="0.3">
      <c r="B12" s="6" t="s">
        <v>23</v>
      </c>
      <c r="C12" s="18" t="s">
        <v>7</v>
      </c>
      <c r="D12" s="18" t="s">
        <v>7</v>
      </c>
      <c r="E12" s="18" t="s">
        <v>7</v>
      </c>
      <c r="F12" s="75" t="s">
        <v>32</v>
      </c>
      <c r="G12" s="18">
        <f>(964/2)*12</f>
        <v>5784</v>
      </c>
      <c r="H12" s="20"/>
      <c r="I12" s="75" t="s">
        <v>32</v>
      </c>
      <c r="J12" s="15">
        <v>5960</v>
      </c>
      <c r="K12" s="75" t="s">
        <v>32</v>
      </c>
      <c r="L12" s="49">
        <f t="shared" ref="L12" si="2">(J12-G12)/G12</f>
        <v>3.0428769017980636E-2</v>
      </c>
      <c r="M12" s="80">
        <v>0</v>
      </c>
      <c r="N12" s="15">
        <v>4298</v>
      </c>
      <c r="O12" s="49">
        <f t="shared" ref="O12" si="3">(N12-J12)/J12</f>
        <v>-0.27885906040268454</v>
      </c>
      <c r="P12" s="80">
        <v>0</v>
      </c>
      <c r="Q12" s="15">
        <v>3980</v>
      </c>
      <c r="R12" s="75"/>
      <c r="S12" s="49">
        <f>(Q12-N12)/N12</f>
        <v>-7.3987901349464869E-2</v>
      </c>
      <c r="T12" s="135"/>
      <c r="U12" s="135"/>
      <c r="V12" s="136">
        <v>4577</v>
      </c>
      <c r="W12" s="135"/>
      <c r="X12" s="80"/>
      <c r="Y12" s="15">
        <v>4838</v>
      </c>
      <c r="Z12" s="135"/>
      <c r="AA12" s="80"/>
      <c r="AB12" s="15">
        <v>6428</v>
      </c>
      <c r="AC12" s="135"/>
      <c r="AD12" s="135"/>
      <c r="AE12" s="136">
        <v>5789</v>
      </c>
      <c r="AF12" s="135"/>
      <c r="AG12" s="135"/>
      <c r="AH12" s="136">
        <v>6621</v>
      </c>
      <c r="AI12" s="135"/>
      <c r="AJ12" s="80"/>
      <c r="AK12" s="15">
        <v>4452</v>
      </c>
      <c r="AL12" s="135"/>
      <c r="AM12" s="80"/>
      <c r="AN12" s="136">
        <v>3643</v>
      </c>
      <c r="AO12" s="82" t="s">
        <v>78</v>
      </c>
      <c r="AT12" s="135"/>
      <c r="AU12" s="80"/>
      <c r="AV12" s="136">
        <v>3682</v>
      </c>
      <c r="AW12" s="135"/>
      <c r="AX12" s="80"/>
      <c r="AY12" s="136">
        <v>3477</v>
      </c>
      <c r="AZ12" s="135"/>
      <c r="BA12" s="80"/>
      <c r="BB12" s="136">
        <v>1377</v>
      </c>
      <c r="BC12" s="135"/>
      <c r="BD12" s="80"/>
      <c r="BE12" s="136">
        <v>3563</v>
      </c>
      <c r="BF12" s="135"/>
      <c r="BG12" s="80"/>
      <c r="BH12" s="136">
        <v>3368</v>
      </c>
      <c r="BI12" s="135"/>
      <c r="BJ12" s="80"/>
      <c r="BK12" s="136">
        <f>1538+2439</f>
        <v>3977</v>
      </c>
      <c r="BL12" s="135"/>
      <c r="BM12" s="80"/>
      <c r="BN12" s="136">
        <f>1701+2292</f>
        <v>3993</v>
      </c>
      <c r="BO12" s="82" t="s">
        <v>78</v>
      </c>
    </row>
    <row r="13" spans="2:68" x14ac:dyDescent="0.3">
      <c r="B13" s="6" t="s">
        <v>84</v>
      </c>
      <c r="C13" s="18" t="s">
        <v>7</v>
      </c>
      <c r="D13" s="18" t="s">
        <v>7</v>
      </c>
      <c r="E13" s="18" t="s">
        <v>7</v>
      </c>
      <c r="F13" s="75" t="s">
        <v>32</v>
      </c>
      <c r="G13" s="18">
        <v>0</v>
      </c>
      <c r="H13" s="20"/>
      <c r="I13" s="75" t="s">
        <v>32</v>
      </c>
      <c r="J13" s="15">
        <v>0</v>
      </c>
      <c r="K13" s="75" t="s">
        <v>32</v>
      </c>
      <c r="L13" s="49" t="e">
        <f t="shared" si="0"/>
        <v>#DIV/0!</v>
      </c>
      <c r="M13" s="80">
        <v>0</v>
      </c>
      <c r="N13" s="15">
        <v>0</v>
      </c>
      <c r="O13" s="49" t="e">
        <f t="shared" si="1"/>
        <v>#DIV/0!</v>
      </c>
      <c r="P13" s="80">
        <v>0</v>
      </c>
      <c r="Q13" s="15">
        <v>541</v>
      </c>
      <c r="R13" s="75"/>
      <c r="S13" s="49" t="e">
        <f>(Q13-N13)/N13</f>
        <v>#DIV/0!</v>
      </c>
      <c r="T13" s="135"/>
      <c r="U13" s="135"/>
      <c r="V13" s="136">
        <v>606</v>
      </c>
      <c r="W13" s="135"/>
      <c r="X13" s="80"/>
      <c r="Y13" s="15">
        <v>546</v>
      </c>
      <c r="Z13" s="135"/>
      <c r="AA13" s="80"/>
      <c r="AB13" s="15">
        <v>789</v>
      </c>
      <c r="AC13" s="135"/>
      <c r="AD13" s="135"/>
      <c r="AE13" s="136">
        <v>707</v>
      </c>
      <c r="AF13" s="135"/>
      <c r="AG13" s="135"/>
      <c r="AH13" s="136">
        <v>1061</v>
      </c>
      <c r="AI13" s="135"/>
      <c r="AJ13" s="80"/>
      <c r="AK13" s="15">
        <v>988</v>
      </c>
      <c r="AL13" s="135"/>
      <c r="AM13" s="80"/>
      <c r="AN13" s="136">
        <v>956</v>
      </c>
      <c r="AO13" s="82" t="s">
        <v>78</v>
      </c>
      <c r="AT13" s="135"/>
      <c r="AU13" s="80"/>
      <c r="AV13" s="136">
        <v>1020</v>
      </c>
      <c r="AW13" s="135"/>
      <c r="AX13" s="80"/>
      <c r="AY13" s="136">
        <v>1439</v>
      </c>
      <c r="AZ13" s="135"/>
      <c r="BA13" s="80"/>
      <c r="BB13" s="135">
        <v>918</v>
      </c>
      <c r="BC13" s="135"/>
      <c r="BD13" s="80"/>
      <c r="BE13" s="135">
        <v>731</v>
      </c>
      <c r="BF13" s="135"/>
      <c r="BG13" s="80"/>
      <c r="BH13" s="135">
        <v>892</v>
      </c>
      <c r="BI13" s="135"/>
      <c r="BJ13" s="80"/>
      <c r="BK13" s="135">
        <f>275+652</f>
        <v>927</v>
      </c>
      <c r="BL13" s="135"/>
      <c r="BM13" s="80"/>
      <c r="BN13" s="135">
        <f>271+620</f>
        <v>891</v>
      </c>
      <c r="BO13" s="82" t="s">
        <v>78</v>
      </c>
    </row>
    <row r="14" spans="2:68" s="93" customFormat="1" ht="19.95" customHeight="1" thickBot="1" x14ac:dyDescent="0.35">
      <c r="B14" s="96" t="s">
        <v>24</v>
      </c>
      <c r="C14" s="52"/>
      <c r="D14" s="97"/>
      <c r="E14" s="97"/>
      <c r="F14" s="51">
        <f>SUM(F4:F13)</f>
        <v>1415626478.54</v>
      </c>
      <c r="G14" s="52">
        <f>SUM(G4:G13)</f>
        <v>22025</v>
      </c>
      <c r="H14" s="53" t="s">
        <v>28</v>
      </c>
      <c r="I14" s="51">
        <f>SUM(I4:I13)</f>
        <v>1863342236.1300001</v>
      </c>
      <c r="J14" s="52">
        <f>SUM(J4:J13)</f>
        <v>26331</v>
      </c>
      <c r="K14" s="68">
        <f>(I14-F14)/F14</f>
        <v>0.31626687150677613</v>
      </c>
      <c r="L14" s="68">
        <f t="shared" si="0"/>
        <v>0.19550510783200908</v>
      </c>
      <c r="M14" s="51">
        <f>SUM(M4:M13)</f>
        <v>1147891095.04</v>
      </c>
      <c r="N14" s="52">
        <f>SUM(N4:N13)</f>
        <v>22267</v>
      </c>
      <c r="O14" s="68">
        <f t="shared" si="1"/>
        <v>-0.15434278986745661</v>
      </c>
      <c r="P14" s="51">
        <f>SUM(P4:P13)</f>
        <v>739950123.20000005</v>
      </c>
      <c r="Q14" s="52">
        <f>SUM(Q4:Q13)</f>
        <v>25177</v>
      </c>
      <c r="R14" s="68"/>
      <c r="S14" s="68"/>
      <c r="T14" s="137">
        <f>SUM(T4:T13)</f>
        <v>1252508149.1100001</v>
      </c>
      <c r="U14" s="137"/>
      <c r="V14" s="138">
        <f>SUM(V4:V13)</f>
        <v>26321</v>
      </c>
      <c r="W14" s="137">
        <f>SUM(W4:W13)</f>
        <v>1295745819.7180002</v>
      </c>
      <c r="X14" s="51"/>
      <c r="Y14" s="52">
        <f>SUM(Y4:Y13)</f>
        <v>25586.400000000001</v>
      </c>
      <c r="Z14" s="137">
        <f>SUM(Z4:Z13)</f>
        <v>1494155597.6499999</v>
      </c>
      <c r="AA14" s="51"/>
      <c r="AB14" s="52">
        <f>SUM(AB4:AB13)</f>
        <v>27385</v>
      </c>
      <c r="AC14" s="137">
        <f>SUM(AC4:AC13)</f>
        <v>1844180930.4599998</v>
      </c>
      <c r="AD14" s="137"/>
      <c r="AE14" s="138">
        <f>SUM(AE4:AE13)</f>
        <v>27392</v>
      </c>
      <c r="AF14" s="137">
        <f>SUM(AF4:AF13)</f>
        <v>1543098868.9000001</v>
      </c>
      <c r="AG14" s="137"/>
      <c r="AH14" s="138">
        <f>SUM(AH4:AH13)</f>
        <v>31254</v>
      </c>
      <c r="AI14" s="137">
        <f>SUM(AI4:AI13)</f>
        <v>1623718632.3199999</v>
      </c>
      <c r="AJ14" s="51"/>
      <c r="AK14" s="52">
        <f>SUM(AK4:AK13)</f>
        <v>32148</v>
      </c>
      <c r="AL14" s="137">
        <f>SUM(AL4:AL13)</f>
        <v>2033963887.6200001</v>
      </c>
      <c r="AM14" s="51"/>
      <c r="AN14" s="52">
        <f>SUM(AN4:AN13)</f>
        <v>30076</v>
      </c>
      <c r="AT14" s="137">
        <f>SUM(AT4:AT13)</f>
        <v>1902967262.3799999</v>
      </c>
      <c r="AU14" s="51"/>
      <c r="AV14" s="52">
        <f>SUM(AV4:AV13)</f>
        <v>27930</v>
      </c>
      <c r="AW14" s="137">
        <f>SUM(AW4:AW13)</f>
        <v>2080588349.0900002</v>
      </c>
      <c r="AX14" s="51"/>
      <c r="AY14" s="52">
        <f>SUM(AY4:AY13)</f>
        <v>23676</v>
      </c>
      <c r="AZ14" s="137">
        <f>SUM(AZ4:AZ13)</f>
        <v>1813217538.0399964</v>
      </c>
      <c r="BA14" s="51"/>
      <c r="BB14" s="52">
        <f>SUM(BB4:BB13)</f>
        <v>17721</v>
      </c>
      <c r="BC14" s="137">
        <f>SUM(BC4:BC13)</f>
        <v>2614283374.3800001</v>
      </c>
      <c r="BD14" s="51"/>
      <c r="BE14" s="52">
        <f>SUM(BE4:BE13)</f>
        <v>20803</v>
      </c>
      <c r="BF14" s="137">
        <f>SUM(BF4:BF13)</f>
        <v>3007412440.0799999</v>
      </c>
      <c r="BG14" s="51"/>
      <c r="BH14" s="52">
        <f>SUM(BH4:BH13)</f>
        <v>23755</v>
      </c>
      <c r="BI14" s="137">
        <f>SUM(BI4:BI13)</f>
        <v>3472691846.6300001</v>
      </c>
      <c r="BJ14" s="51"/>
      <c r="BK14" s="52">
        <f>SUM(BK4:BK13)</f>
        <v>27082</v>
      </c>
      <c r="BL14" s="137">
        <f>SUM(BL4:BL13)</f>
        <v>6369786635.8400002</v>
      </c>
      <c r="BM14" s="51"/>
      <c r="BN14" s="52">
        <f>SUM(BN4:BN13)</f>
        <v>24806</v>
      </c>
    </row>
    <row r="15" spans="2:68" s="93" customFormat="1" ht="19.95" customHeight="1" thickTop="1" x14ac:dyDescent="0.3">
      <c r="B15" s="98"/>
      <c r="C15" s="74"/>
      <c r="D15" s="99"/>
      <c r="E15" s="99"/>
      <c r="F15" s="67"/>
      <c r="G15" s="74"/>
      <c r="H15" s="69"/>
      <c r="I15" s="67"/>
      <c r="J15" s="74"/>
      <c r="K15" s="74"/>
      <c r="L15" s="70"/>
      <c r="M15" s="70"/>
      <c r="N15" s="70"/>
      <c r="O15" s="70"/>
      <c r="P15" s="67"/>
      <c r="Q15" s="74"/>
      <c r="R15" s="74"/>
      <c r="S15" s="70"/>
      <c r="T15" s="67"/>
      <c r="U15" s="67"/>
      <c r="V15" s="74"/>
      <c r="W15" s="67"/>
      <c r="X15" s="67"/>
      <c r="Y15" s="74"/>
      <c r="Z15" s="67"/>
      <c r="AA15" s="67"/>
      <c r="AB15" s="74"/>
    </row>
    <row r="16" spans="2:68" ht="15" thickBot="1" x14ac:dyDescent="0.35">
      <c r="B16" s="64"/>
      <c r="C16" s="60"/>
      <c r="D16" s="60"/>
      <c r="E16" s="60"/>
      <c r="F16" s="65"/>
      <c r="G16" s="60"/>
      <c r="H16" s="61"/>
      <c r="I16" s="65"/>
      <c r="J16" s="62"/>
      <c r="K16" s="62"/>
      <c r="L16" s="63"/>
      <c r="M16" s="63"/>
      <c r="N16" s="63"/>
      <c r="O16" s="63"/>
      <c r="P16" s="65"/>
      <c r="Q16" s="62"/>
      <c r="R16" s="62"/>
      <c r="S16" s="63"/>
      <c r="T16" s="65"/>
      <c r="U16" s="65"/>
      <c r="V16" s="62"/>
      <c r="W16" s="65"/>
      <c r="X16" s="65"/>
      <c r="Y16" s="62"/>
      <c r="Z16" s="65"/>
      <c r="AA16" s="65"/>
      <c r="AB16" s="62"/>
    </row>
    <row r="17" spans="1:67" x14ac:dyDescent="0.3">
      <c r="B17" s="279" t="s">
        <v>25</v>
      </c>
      <c r="C17" s="281" t="s">
        <v>1</v>
      </c>
      <c r="D17" s="281"/>
      <c r="E17" s="282"/>
      <c r="F17" s="283" t="s">
        <v>2</v>
      </c>
      <c r="G17" s="284"/>
      <c r="H17" s="294"/>
      <c r="I17" s="295" t="s">
        <v>3</v>
      </c>
      <c r="J17" s="296"/>
      <c r="K17" s="296"/>
      <c r="L17" s="297"/>
      <c r="M17" s="303" t="s">
        <v>44</v>
      </c>
      <c r="N17" s="304"/>
      <c r="O17" s="184"/>
      <c r="P17" s="298" t="s">
        <v>45</v>
      </c>
      <c r="Q17" s="299"/>
      <c r="R17" s="299"/>
      <c r="S17" s="300"/>
      <c r="T17" s="314" t="s">
        <v>46</v>
      </c>
      <c r="U17" s="315"/>
      <c r="V17" s="316"/>
      <c r="W17" s="308" t="s">
        <v>57</v>
      </c>
      <c r="X17" s="309"/>
      <c r="Y17" s="310"/>
      <c r="Z17" s="319" t="s">
        <v>58</v>
      </c>
      <c r="AA17" s="320"/>
      <c r="AB17" s="321"/>
      <c r="AC17" s="253" t="s">
        <v>72</v>
      </c>
      <c r="AD17" s="254"/>
      <c r="AE17" s="255"/>
      <c r="AF17" s="269" t="s">
        <v>76</v>
      </c>
      <c r="AG17" s="270"/>
      <c r="AH17" s="271"/>
      <c r="AI17" s="262" t="s">
        <v>85</v>
      </c>
      <c r="AJ17" s="263"/>
      <c r="AK17" s="264"/>
      <c r="AL17" s="332" t="s">
        <v>91</v>
      </c>
      <c r="AM17" s="333"/>
      <c r="AN17" s="334"/>
      <c r="AT17" s="314" t="s">
        <v>97</v>
      </c>
      <c r="AU17" s="315"/>
      <c r="AV17" s="316"/>
      <c r="AW17" s="341" t="s">
        <v>99</v>
      </c>
      <c r="AX17" s="342"/>
      <c r="AY17" s="343"/>
      <c r="AZ17" s="344" t="s">
        <v>104</v>
      </c>
      <c r="BA17" s="345"/>
      <c r="BB17" s="346"/>
      <c r="BC17" s="295" t="s">
        <v>106</v>
      </c>
      <c r="BD17" s="296"/>
      <c r="BE17" s="296"/>
      <c r="BF17" s="311" t="s">
        <v>107</v>
      </c>
      <c r="BG17" s="312"/>
      <c r="BH17" s="312"/>
      <c r="BI17" s="350" t="s">
        <v>115</v>
      </c>
      <c r="BJ17" s="351"/>
      <c r="BK17" s="351"/>
      <c r="BL17" s="348" t="s">
        <v>116</v>
      </c>
      <c r="BM17" s="349"/>
      <c r="BN17" s="349"/>
    </row>
    <row r="18" spans="1:67" s="93" customFormat="1" ht="45" customHeight="1" thickBot="1" x14ac:dyDescent="0.35">
      <c r="B18" s="280"/>
      <c r="C18" s="100" t="s">
        <v>5</v>
      </c>
      <c r="D18" s="101" t="s">
        <v>4</v>
      </c>
      <c r="E18" s="102" t="s">
        <v>9</v>
      </c>
      <c r="F18" s="54" t="s">
        <v>5</v>
      </c>
      <c r="G18" s="55" t="s">
        <v>4</v>
      </c>
      <c r="H18" s="56"/>
      <c r="I18" s="54" t="s">
        <v>5</v>
      </c>
      <c r="J18" s="55" t="s">
        <v>4</v>
      </c>
      <c r="K18" s="92" t="s">
        <v>39</v>
      </c>
      <c r="L18" s="92" t="s">
        <v>40</v>
      </c>
      <c r="M18" s="54" t="s">
        <v>5</v>
      </c>
      <c r="N18" s="55" t="s">
        <v>4</v>
      </c>
      <c r="O18" s="141" t="s">
        <v>40</v>
      </c>
      <c r="P18" s="151" t="s">
        <v>5</v>
      </c>
      <c r="Q18" s="55" t="s">
        <v>4</v>
      </c>
      <c r="R18" s="92" t="s">
        <v>40</v>
      </c>
      <c r="S18" s="148" t="s">
        <v>40</v>
      </c>
      <c r="T18" s="151" t="s">
        <v>5</v>
      </c>
      <c r="U18" s="54"/>
      <c r="V18" s="146" t="s">
        <v>4</v>
      </c>
      <c r="W18" s="151" t="s">
        <v>5</v>
      </c>
      <c r="X18" s="54"/>
      <c r="Y18" s="146" t="s">
        <v>4</v>
      </c>
      <c r="Z18" s="151" t="s">
        <v>5</v>
      </c>
      <c r="AA18" s="54"/>
      <c r="AB18" s="146" t="s">
        <v>4</v>
      </c>
      <c r="AC18" s="151" t="s">
        <v>5</v>
      </c>
      <c r="AD18" s="54"/>
      <c r="AE18" s="146" t="s">
        <v>4</v>
      </c>
      <c r="AF18" s="151" t="s">
        <v>5</v>
      </c>
      <c r="AG18" s="54"/>
      <c r="AH18" s="146" t="s">
        <v>4</v>
      </c>
      <c r="AI18" s="151" t="s">
        <v>5</v>
      </c>
      <c r="AJ18" s="54"/>
      <c r="AK18" s="146" t="s">
        <v>4</v>
      </c>
      <c r="AL18" s="151" t="s">
        <v>5</v>
      </c>
      <c r="AM18" s="54"/>
      <c r="AN18" s="146" t="s">
        <v>4</v>
      </c>
      <c r="AT18" s="151" t="s">
        <v>5</v>
      </c>
      <c r="AU18" s="54"/>
      <c r="AV18" s="146" t="s">
        <v>4</v>
      </c>
      <c r="AW18" s="151" t="s">
        <v>5</v>
      </c>
      <c r="AX18" s="54"/>
      <c r="AY18" s="146" t="s">
        <v>4</v>
      </c>
      <c r="AZ18" s="151" t="s">
        <v>5</v>
      </c>
      <c r="BA18" s="54"/>
      <c r="BB18" s="146" t="s">
        <v>4</v>
      </c>
      <c r="BC18" s="151" t="s">
        <v>5</v>
      </c>
      <c r="BD18" s="54"/>
      <c r="BE18" s="146" t="s">
        <v>4</v>
      </c>
      <c r="BF18" s="151" t="s">
        <v>5</v>
      </c>
      <c r="BG18" s="54"/>
      <c r="BH18" s="146" t="s">
        <v>4</v>
      </c>
      <c r="BI18" s="151" t="s">
        <v>5</v>
      </c>
      <c r="BJ18" s="54"/>
      <c r="BK18" s="146" t="s">
        <v>4</v>
      </c>
      <c r="BL18" s="151" t="s">
        <v>5</v>
      </c>
      <c r="BM18" s="54"/>
      <c r="BN18" s="146" t="s">
        <v>4</v>
      </c>
    </row>
    <row r="19" spans="1:67" x14ac:dyDescent="0.3">
      <c r="B19" s="94" t="s">
        <v>60</v>
      </c>
      <c r="C19" s="18" t="s">
        <v>7</v>
      </c>
      <c r="D19" s="18" t="s">
        <v>7</v>
      </c>
      <c r="E19" s="18" t="s">
        <v>7</v>
      </c>
      <c r="F19" s="72"/>
      <c r="G19" s="18"/>
      <c r="H19" s="20"/>
      <c r="I19" s="71">
        <v>102540534</v>
      </c>
      <c r="J19" s="15">
        <v>4810</v>
      </c>
      <c r="K19" s="49" t="e">
        <f t="shared" ref="K19:L21" si="4">(I19-F19)/F19</f>
        <v>#DIV/0!</v>
      </c>
      <c r="L19" s="49" t="e">
        <f t="shared" si="4"/>
        <v>#DIV/0!</v>
      </c>
      <c r="M19" s="71">
        <v>88632728</v>
      </c>
      <c r="N19" s="15">
        <v>4374</v>
      </c>
      <c r="O19" s="79">
        <f>(N19-J19)/J19</f>
        <v>-9.064449064449065E-2</v>
      </c>
      <c r="P19" s="143">
        <v>103000003.68000002</v>
      </c>
      <c r="Q19" s="15">
        <v>4692</v>
      </c>
      <c r="R19" s="49"/>
      <c r="S19" s="145">
        <f>(Q19-N19)/N19</f>
        <v>7.2702331961591218E-2</v>
      </c>
      <c r="T19" s="143">
        <v>114421630.79000001</v>
      </c>
      <c r="U19" s="71"/>
      <c r="V19" s="153">
        <v>4841</v>
      </c>
      <c r="W19" s="143">
        <v>101185801.55</v>
      </c>
      <c r="X19" s="71"/>
      <c r="Y19" s="153">
        <v>4326</v>
      </c>
      <c r="Z19" s="143">
        <v>97165843.819999993</v>
      </c>
      <c r="AA19" s="71"/>
      <c r="AB19" s="153">
        <v>4723</v>
      </c>
      <c r="AC19" s="143">
        <v>137161798</v>
      </c>
      <c r="AD19" s="71"/>
      <c r="AE19" s="153">
        <v>5592</v>
      </c>
      <c r="AF19" s="143">
        <v>172082736.25999999</v>
      </c>
      <c r="AG19" s="71"/>
      <c r="AH19" s="153">
        <v>6652</v>
      </c>
      <c r="AI19" s="143">
        <v>177214525</v>
      </c>
      <c r="AJ19" s="71"/>
      <c r="AK19" s="153">
        <v>7300</v>
      </c>
      <c r="AL19" s="143">
        <v>196799693.41999999</v>
      </c>
      <c r="AM19" s="71"/>
      <c r="AN19" s="153">
        <v>7175</v>
      </c>
      <c r="AO19" s="82" t="s">
        <v>92</v>
      </c>
      <c r="AT19" s="143">
        <v>186614484</v>
      </c>
      <c r="AU19" s="71"/>
      <c r="AV19" s="153">
        <v>7172</v>
      </c>
      <c r="AW19" s="143">
        <v>172369492</v>
      </c>
      <c r="AX19" s="71"/>
      <c r="AY19" s="153">
        <v>6700</v>
      </c>
      <c r="AZ19" s="143">
        <v>187511942.78999999</v>
      </c>
      <c r="BA19" s="71"/>
      <c r="BB19" s="204">
        <v>6606</v>
      </c>
      <c r="BC19" s="143">
        <v>203604956</v>
      </c>
      <c r="BD19" s="71"/>
      <c r="BE19" s="204">
        <v>7259</v>
      </c>
      <c r="BF19" s="143">
        <v>206366209</v>
      </c>
      <c r="BG19" s="71"/>
      <c r="BH19" s="204">
        <v>7619</v>
      </c>
      <c r="BI19" s="204">
        <v>256008753.63</v>
      </c>
      <c r="BJ19" s="71"/>
      <c r="BK19" s="204">
        <v>7865</v>
      </c>
      <c r="BL19" s="143">
        <v>259589728.94999999</v>
      </c>
      <c r="BM19" s="71"/>
      <c r="BN19" s="204">
        <v>7939</v>
      </c>
      <c r="BO19" s="82" t="s">
        <v>95</v>
      </c>
    </row>
    <row r="20" spans="1:67" x14ac:dyDescent="0.3">
      <c r="B20" s="6" t="s">
        <v>11</v>
      </c>
      <c r="C20" s="18" t="s">
        <v>7</v>
      </c>
      <c r="D20" s="18" t="s">
        <v>7</v>
      </c>
      <c r="E20" s="18" t="s">
        <v>7</v>
      </c>
      <c r="F20" s="72">
        <v>7315665.6799999997</v>
      </c>
      <c r="G20" s="18">
        <v>450</v>
      </c>
      <c r="H20" s="20"/>
      <c r="I20" s="71">
        <v>4404086.67</v>
      </c>
      <c r="J20" s="15">
        <v>320</v>
      </c>
      <c r="K20" s="49">
        <f t="shared" si="4"/>
        <v>-0.39799235467523442</v>
      </c>
      <c r="L20" s="49">
        <f t="shared" si="4"/>
        <v>-0.28888888888888886</v>
      </c>
      <c r="M20" s="71">
        <v>2956450</v>
      </c>
      <c r="N20" s="15">
        <v>264</v>
      </c>
      <c r="O20" s="79">
        <f>(N20-J20)/J20</f>
        <v>-0.17499999999999999</v>
      </c>
      <c r="P20" s="143">
        <v>4731679.5</v>
      </c>
      <c r="Q20" s="15">
        <v>373</v>
      </c>
      <c r="R20" s="49"/>
      <c r="S20" s="145">
        <f>(Q20-N20)/N20</f>
        <v>0.4128787878787879</v>
      </c>
      <c r="T20" s="143">
        <v>4157001.04</v>
      </c>
      <c r="U20" s="71"/>
      <c r="V20" s="153">
        <v>299</v>
      </c>
      <c r="W20" s="143">
        <v>3111352.13</v>
      </c>
      <c r="X20" s="71"/>
      <c r="Y20" s="153">
        <v>249</v>
      </c>
      <c r="Z20" s="143">
        <v>2302573.96</v>
      </c>
      <c r="AA20" s="71"/>
      <c r="AB20" s="153">
        <v>148</v>
      </c>
      <c r="AC20" s="143">
        <v>2426977</v>
      </c>
      <c r="AD20" s="71"/>
      <c r="AE20" s="153">
        <v>133</v>
      </c>
      <c r="AF20" s="143">
        <v>2542436.08</v>
      </c>
      <c r="AG20" s="71"/>
      <c r="AH20" s="153">
        <v>171</v>
      </c>
      <c r="AI20" s="143">
        <v>2235100</v>
      </c>
      <c r="AJ20" s="71"/>
      <c r="AK20" s="153">
        <v>147</v>
      </c>
      <c r="AL20" s="143">
        <v>2951886.42</v>
      </c>
      <c r="AM20" s="71"/>
      <c r="AN20" s="153">
        <v>194</v>
      </c>
      <c r="AO20" s="82" t="s">
        <v>92</v>
      </c>
      <c r="AT20" s="143">
        <v>2089279</v>
      </c>
      <c r="AU20" s="71"/>
      <c r="AV20" s="153">
        <v>156</v>
      </c>
      <c r="AW20" s="143">
        <v>1478197</v>
      </c>
      <c r="AX20" s="71"/>
      <c r="AY20" s="153">
        <v>132</v>
      </c>
      <c r="AZ20" s="143">
        <v>1365129.61</v>
      </c>
      <c r="BA20" s="71"/>
      <c r="BB20" s="153">
        <v>91</v>
      </c>
      <c r="BC20" s="143">
        <v>1624639</v>
      </c>
      <c r="BD20" s="71"/>
      <c r="BE20" s="153">
        <v>108</v>
      </c>
      <c r="BF20" s="143">
        <v>1919341</v>
      </c>
      <c r="BG20" s="71"/>
      <c r="BH20" s="153">
        <v>105</v>
      </c>
      <c r="BI20" s="143">
        <v>2177423.84</v>
      </c>
      <c r="BJ20" s="71"/>
      <c r="BK20" s="153">
        <v>116</v>
      </c>
      <c r="BL20" s="143">
        <v>1247587.29</v>
      </c>
      <c r="BM20" s="71"/>
      <c r="BN20" s="153">
        <v>113</v>
      </c>
      <c r="BO20" s="82" t="s">
        <v>95</v>
      </c>
    </row>
    <row r="21" spans="1:67" s="93" customFormat="1" ht="19.95" customHeight="1" thickBot="1" x14ac:dyDescent="0.35">
      <c r="B21" s="96" t="s">
        <v>27</v>
      </c>
      <c r="C21" s="52"/>
      <c r="D21" s="97"/>
      <c r="E21" s="97"/>
      <c r="F21" s="51">
        <f>SUM(F19:F20)</f>
        <v>7315665.6799999997</v>
      </c>
      <c r="G21" s="52">
        <f>SUM(G19:G20)</f>
        <v>450</v>
      </c>
      <c r="H21" s="53" t="s">
        <v>28</v>
      </c>
      <c r="I21" s="51">
        <f>SUM(I19:I20)</f>
        <v>106944620.67</v>
      </c>
      <c r="J21" s="52">
        <f>SUM(J19:J20)</f>
        <v>5130</v>
      </c>
      <c r="K21" s="68">
        <f t="shared" si="4"/>
        <v>13.618576811454295</v>
      </c>
      <c r="L21" s="68">
        <f t="shared" si="4"/>
        <v>10.4</v>
      </c>
      <c r="M21" s="51">
        <f>SUM(M19:M20)</f>
        <v>91589178</v>
      </c>
      <c r="N21" s="52">
        <f>SUM(N19:N20)</f>
        <v>4638</v>
      </c>
      <c r="O21" s="140">
        <f>(N21-J21)/J21</f>
        <v>-9.5906432748538009E-2</v>
      </c>
      <c r="P21" s="147">
        <f>SUM(P19:P20)</f>
        <v>107731683.18000002</v>
      </c>
      <c r="Q21" s="142">
        <f>SUM(Q19:Q20)</f>
        <v>5065</v>
      </c>
      <c r="R21" s="150">
        <f>(P21-I21)/I21</f>
        <v>7.3595334208409252E-3</v>
      </c>
      <c r="S21" s="144">
        <f>(Q21-N21)/N21</f>
        <v>9.2065545493747306E-2</v>
      </c>
      <c r="T21" s="147">
        <f>SUM(T19:T20)</f>
        <v>118578631.83000001</v>
      </c>
      <c r="U21" s="154"/>
      <c r="V21" s="155">
        <f>SUM(V19:V20)</f>
        <v>5140</v>
      </c>
      <c r="W21" s="147">
        <f>SUM(W19:W20)</f>
        <v>104297153.67999999</v>
      </c>
      <c r="X21" s="154"/>
      <c r="Y21" s="155">
        <f>SUM(Y19:Y20)</f>
        <v>4575</v>
      </c>
      <c r="Z21" s="147">
        <f>SUM(Z19:Z20)</f>
        <v>99468417.779999986</v>
      </c>
      <c r="AA21" s="154"/>
      <c r="AB21" s="155">
        <f>SUM(AB19:AB20)</f>
        <v>4871</v>
      </c>
      <c r="AC21" s="161">
        <f>SUM(AC19:AC20)</f>
        <v>139588775</v>
      </c>
      <c r="AD21" s="154"/>
      <c r="AE21" s="162">
        <f>SUM(AE19:AE20)</f>
        <v>5725</v>
      </c>
      <c r="AF21" s="161">
        <f>SUM(AF19:AF20)</f>
        <v>174625172.34</v>
      </c>
      <c r="AG21" s="154"/>
      <c r="AH21" s="162">
        <f>SUM(AH19:AH20)</f>
        <v>6823</v>
      </c>
      <c r="AI21" s="161">
        <f>SUM(AI19:AI20)</f>
        <v>179449625</v>
      </c>
      <c r="AJ21" s="154"/>
      <c r="AK21" s="162">
        <f>SUM(AK19:AK20)</f>
        <v>7447</v>
      </c>
      <c r="AL21" s="161">
        <f>SUM(AL19:AL20)</f>
        <v>199751579.83999997</v>
      </c>
      <c r="AM21" s="154"/>
      <c r="AN21" s="162">
        <f>SUM(AN19:AN20)</f>
        <v>7369</v>
      </c>
      <c r="AT21" s="161">
        <f>SUM(AT19:AT20)</f>
        <v>188703763</v>
      </c>
      <c r="AU21" s="154"/>
      <c r="AV21" s="162">
        <f>SUM(AV19:AV20)</f>
        <v>7328</v>
      </c>
      <c r="AW21" s="161">
        <f>SUM(AW19:AW20)</f>
        <v>173847689</v>
      </c>
      <c r="AX21" s="154"/>
      <c r="AY21" s="162">
        <f>SUM(AY19:AY20)</f>
        <v>6832</v>
      </c>
      <c r="AZ21" s="161">
        <f>SUM(AZ19:AZ20)</f>
        <v>188877072.40000001</v>
      </c>
      <c r="BA21" s="154"/>
      <c r="BB21" s="162">
        <f>SUM(BB19:BB20)</f>
        <v>6697</v>
      </c>
      <c r="BC21" s="161">
        <f>SUM(BC19:BC20)</f>
        <v>205229595</v>
      </c>
      <c r="BD21" s="154"/>
      <c r="BE21" s="162">
        <f>SUM(BE19:BE20)</f>
        <v>7367</v>
      </c>
      <c r="BF21" s="161">
        <f>SUM(BF19:BF20)</f>
        <v>208285550</v>
      </c>
      <c r="BG21" s="154"/>
      <c r="BH21" s="162">
        <f>SUM(BH19:BH20)</f>
        <v>7724</v>
      </c>
      <c r="BI21" s="161">
        <f>SUM(BI19:BI20)</f>
        <v>258186177.47</v>
      </c>
      <c r="BJ21" s="154"/>
      <c r="BK21" s="162">
        <f>SUM(BK19:BK20)</f>
        <v>7981</v>
      </c>
      <c r="BL21" s="161">
        <f>SUM(BL19:BL20)</f>
        <v>260837316.23999998</v>
      </c>
      <c r="BM21" s="154"/>
      <c r="BN21" s="162">
        <f>SUM(BN19:BN20)</f>
        <v>8052</v>
      </c>
    </row>
    <row r="22" spans="1:67" s="93" customFormat="1" ht="22.2" hidden="1" customHeight="1" thickTop="1" thickBot="1" x14ac:dyDescent="0.35">
      <c r="B22" s="37"/>
      <c r="C22" s="103"/>
      <c r="D22" s="104"/>
      <c r="E22" s="104"/>
      <c r="F22" s="105"/>
      <c r="G22" s="103"/>
      <c r="H22" s="53"/>
      <c r="I22" s="105"/>
      <c r="J22" s="103"/>
      <c r="K22" s="106"/>
      <c r="L22" s="57"/>
      <c r="M22" s="57"/>
      <c r="N22" s="57"/>
      <c r="O22" s="57"/>
      <c r="P22" s="149"/>
      <c r="Q22" s="106"/>
      <c r="R22" s="106"/>
      <c r="S22" s="57"/>
      <c r="T22" s="149"/>
      <c r="U22" s="149"/>
      <c r="V22" s="106"/>
      <c r="W22" s="106"/>
      <c r="X22" s="106"/>
      <c r="Y22" s="106"/>
      <c r="Z22" s="149"/>
      <c r="AA22" s="149"/>
      <c r="AB22" s="106"/>
    </row>
    <row r="23" spans="1:67" s="93" customFormat="1" ht="22.2" customHeight="1" thickTop="1" thickBot="1" x14ac:dyDescent="0.35">
      <c r="B23" s="157" t="s">
        <v>61</v>
      </c>
      <c r="C23" s="74"/>
      <c r="D23" s="99"/>
      <c r="E23" s="99"/>
      <c r="F23" s="67"/>
      <c r="G23" s="74"/>
      <c r="H23" s="69"/>
      <c r="I23" s="67"/>
      <c r="J23" s="74"/>
      <c r="K23" s="74"/>
      <c r="L23" s="63"/>
      <c r="M23" s="63"/>
      <c r="N23" s="63"/>
      <c r="O23" s="63"/>
      <c r="P23" s="67"/>
      <c r="Q23" s="74"/>
      <c r="R23" s="74"/>
      <c r="S23" s="63"/>
      <c r="T23" s="67"/>
      <c r="U23" s="67"/>
      <c r="V23" s="74"/>
      <c r="W23" s="74"/>
      <c r="X23" s="74"/>
      <c r="Y23" s="74"/>
      <c r="Z23" s="67"/>
      <c r="AA23" s="67"/>
      <c r="AB23" s="74"/>
    </row>
    <row r="24" spans="1:67" ht="21" customHeight="1" x14ac:dyDescent="0.3">
      <c r="B24" s="279" t="s">
        <v>42</v>
      </c>
      <c r="C24" s="107"/>
      <c r="D24" s="108"/>
      <c r="E24" s="108"/>
      <c r="F24" s="283" t="s">
        <v>37</v>
      </c>
      <c r="G24" s="284"/>
      <c r="H24" s="109"/>
      <c r="I24" s="285" t="s">
        <v>38</v>
      </c>
      <c r="J24" s="286"/>
      <c r="K24" s="286"/>
      <c r="L24" s="287"/>
      <c r="M24" s="288" t="s">
        <v>49</v>
      </c>
      <c r="N24" s="289"/>
      <c r="O24" s="183"/>
      <c r="R24" s="82"/>
      <c r="S24" s="82"/>
      <c r="Y24" s="317" t="s">
        <v>59</v>
      </c>
      <c r="Z24" s="318"/>
      <c r="AA24" s="82"/>
      <c r="AB24" s="82"/>
      <c r="AC24" s="276" t="s">
        <v>74</v>
      </c>
      <c r="AD24" s="277"/>
      <c r="AE24" s="278"/>
      <c r="AI24" s="265"/>
      <c r="AJ24" s="265"/>
      <c r="AK24" s="265"/>
      <c r="AL24" s="335" t="s">
        <v>111</v>
      </c>
      <c r="AM24" s="336"/>
      <c r="AN24" s="337"/>
      <c r="AT24" s="288" t="s">
        <v>112</v>
      </c>
      <c r="AU24" s="326"/>
      <c r="AV24" s="289"/>
      <c r="AW24" s="265"/>
      <c r="AX24" s="265"/>
      <c r="AY24" s="265"/>
      <c r="AZ24" s="265"/>
      <c r="BA24" s="265"/>
      <c r="BB24" s="265"/>
      <c r="BC24" s="295" t="s">
        <v>109</v>
      </c>
      <c r="BD24" s="296"/>
      <c r="BE24" s="297"/>
      <c r="BF24" s="311" t="s">
        <v>110</v>
      </c>
      <c r="BG24" s="312"/>
      <c r="BH24" s="312"/>
      <c r="BI24" s="350" t="s">
        <v>119</v>
      </c>
      <c r="BJ24" s="351"/>
      <c r="BK24" s="351"/>
    </row>
    <row r="25" spans="1:67" ht="58.2" thickBot="1" x14ac:dyDescent="0.35">
      <c r="B25" s="280"/>
      <c r="C25" s="110"/>
      <c r="D25" s="111"/>
      <c r="E25" s="111"/>
      <c r="F25" s="54" t="s">
        <v>5</v>
      </c>
      <c r="G25" s="55" t="s">
        <v>4</v>
      </c>
      <c r="H25" s="112"/>
      <c r="I25" s="54" t="s">
        <v>5</v>
      </c>
      <c r="J25" s="55" t="s">
        <v>4</v>
      </c>
      <c r="K25" s="92" t="s">
        <v>39</v>
      </c>
      <c r="L25" s="92" t="s">
        <v>40</v>
      </c>
      <c r="M25" s="54" t="s">
        <v>5</v>
      </c>
      <c r="N25" s="55" t="s">
        <v>4</v>
      </c>
      <c r="O25" s="129" t="s">
        <v>39</v>
      </c>
      <c r="R25" s="82"/>
      <c r="S25" s="82"/>
      <c r="Y25" s="54" t="s">
        <v>5</v>
      </c>
      <c r="Z25" s="55" t="s">
        <v>4</v>
      </c>
      <c r="AA25" s="82"/>
      <c r="AB25" s="82"/>
      <c r="AC25" s="54" t="s">
        <v>75</v>
      </c>
      <c r="AD25" s="274" t="s">
        <v>4</v>
      </c>
      <c r="AE25" s="275"/>
      <c r="AI25" s="174"/>
      <c r="AJ25" s="251"/>
      <c r="AK25" s="251"/>
      <c r="AL25" s="54" t="s">
        <v>75</v>
      </c>
      <c r="AM25" s="274" t="s">
        <v>4</v>
      </c>
      <c r="AN25" s="275"/>
      <c r="AT25" s="54" t="s">
        <v>75</v>
      </c>
      <c r="AU25" s="274" t="s">
        <v>4</v>
      </c>
      <c r="AV25" s="275"/>
      <c r="AW25" s="174"/>
      <c r="AX25" s="251"/>
      <c r="AY25" s="251"/>
      <c r="AZ25" s="174"/>
      <c r="BA25" s="251"/>
      <c r="BB25" s="251"/>
      <c r="BC25" s="89" t="s">
        <v>75</v>
      </c>
      <c r="BD25" s="347" t="s">
        <v>4</v>
      </c>
      <c r="BE25" s="347"/>
      <c r="BF25" s="89" t="s">
        <v>75</v>
      </c>
      <c r="BG25" s="347" t="s">
        <v>4</v>
      </c>
      <c r="BH25" s="347"/>
      <c r="BI25" s="89" t="s">
        <v>75</v>
      </c>
      <c r="BJ25" s="347" t="s">
        <v>4</v>
      </c>
      <c r="BK25" s="347"/>
    </row>
    <row r="26" spans="1:67" ht="15.75" customHeight="1" x14ac:dyDescent="0.3">
      <c r="B26" s="66" t="s">
        <v>121</v>
      </c>
      <c r="C26" s="113"/>
      <c r="D26" s="6"/>
      <c r="E26" s="6"/>
      <c r="F26" s="71">
        <v>194301058.78999999</v>
      </c>
      <c r="G26" s="15">
        <v>16955</v>
      </c>
      <c r="H26" s="112"/>
      <c r="I26" s="71">
        <v>173564040.15999991</v>
      </c>
      <c r="J26" s="15">
        <v>14954</v>
      </c>
      <c r="K26" s="49">
        <f t="shared" ref="K26:L28" si="5">(I26-F26)/F26</f>
        <v>-0.10672622557560324</v>
      </c>
      <c r="L26" s="49">
        <f t="shared" si="5"/>
        <v>-0.11801828369212622</v>
      </c>
      <c r="M26" s="71">
        <v>141203333</v>
      </c>
      <c r="N26" s="15">
        <v>16789</v>
      </c>
      <c r="O26" s="130"/>
      <c r="R26" s="82"/>
      <c r="S26" s="82"/>
      <c r="Y26" s="71">
        <v>121709938.54000001</v>
      </c>
      <c r="Z26" s="15">
        <v>19344</v>
      </c>
      <c r="AA26" s="82"/>
      <c r="AB26" s="82"/>
      <c r="AC26" s="164">
        <v>142461603.30000001</v>
      </c>
      <c r="AD26" s="272">
        <v>21311</v>
      </c>
      <c r="AE26" s="273"/>
      <c r="AI26" s="120"/>
      <c r="AJ26" s="252"/>
      <c r="AK26" s="252"/>
      <c r="AL26" s="164">
        <v>149046672.09</v>
      </c>
      <c r="AM26" s="272">
        <v>22438</v>
      </c>
      <c r="AN26" s="273"/>
      <c r="AO26" s="82" t="s">
        <v>89</v>
      </c>
      <c r="AT26" s="164">
        <v>154252274</v>
      </c>
      <c r="AU26" s="272">
        <v>23796</v>
      </c>
      <c r="AV26" s="273"/>
      <c r="AW26" s="120"/>
      <c r="AX26" s="252"/>
      <c r="AY26" s="252"/>
      <c r="AZ26" s="120"/>
      <c r="BA26" s="252"/>
      <c r="BB26" s="252"/>
      <c r="BC26" s="164">
        <v>152492338.4899998</v>
      </c>
      <c r="BD26" s="272">
        <v>24449</v>
      </c>
      <c r="BE26" s="273"/>
      <c r="BF26" s="164">
        <v>156046419.09999999</v>
      </c>
      <c r="BG26" s="272">
        <v>25567</v>
      </c>
      <c r="BH26" s="273"/>
      <c r="BI26" s="164">
        <v>210189403</v>
      </c>
      <c r="BJ26" s="272">
        <v>25999</v>
      </c>
      <c r="BK26" s="273"/>
      <c r="BO26" s="82" t="s">
        <v>95</v>
      </c>
    </row>
    <row r="27" spans="1:67" x14ac:dyDescent="0.3">
      <c r="B27" s="94" t="s">
        <v>93</v>
      </c>
      <c r="C27" s="15"/>
      <c r="D27" s="6"/>
      <c r="E27" s="6"/>
      <c r="F27" s="71">
        <v>185755412.41</v>
      </c>
      <c r="G27" s="15">
        <v>12543</v>
      </c>
      <c r="H27" s="112"/>
      <c r="I27" s="71">
        <v>168348462.98999989</v>
      </c>
      <c r="J27" s="15">
        <v>13883</v>
      </c>
      <c r="K27" s="49">
        <f t="shared" si="5"/>
        <v>-9.370897565869804E-2</v>
      </c>
      <c r="L27" s="49">
        <f t="shared" si="5"/>
        <v>0.10683249621302719</v>
      </c>
      <c r="M27" s="71">
        <v>136178446</v>
      </c>
      <c r="N27" s="15">
        <v>15595</v>
      </c>
      <c r="O27" s="130"/>
      <c r="R27" s="82"/>
      <c r="S27" s="82"/>
      <c r="Y27" s="71">
        <f>Y26-Y28</f>
        <v>119681314.86</v>
      </c>
      <c r="Z27" s="15">
        <f>Z26-Z28</f>
        <v>18869</v>
      </c>
      <c r="AA27" s="82"/>
      <c r="AB27" s="82"/>
      <c r="AC27" s="164">
        <f>AC26-69411.32-643274.32</f>
        <v>141748917.66000003</v>
      </c>
      <c r="AD27" s="272">
        <f>AD26-1004+328-175</f>
        <v>20460</v>
      </c>
      <c r="AE27" s="273"/>
      <c r="AI27" s="120"/>
      <c r="AJ27" s="252"/>
      <c r="AK27" s="252"/>
      <c r="AL27" s="164">
        <f>(AL26-(185797.1+289.26+21608.78+5532.94+10142.12))</f>
        <v>148823301.89000002</v>
      </c>
      <c r="AM27" s="272">
        <f>AM26-AM28</f>
        <v>21844</v>
      </c>
      <c r="AN27" s="273"/>
      <c r="AO27" s="82" t="s">
        <v>88</v>
      </c>
      <c r="AT27" s="164">
        <f>AT26-939776.42-1608224.15-21830.73</f>
        <v>151682442.70000002</v>
      </c>
      <c r="AU27" s="272">
        <f>AU26-132</f>
        <v>23664</v>
      </c>
      <c r="AV27" s="273"/>
      <c r="AW27" s="120"/>
      <c r="AX27" s="252"/>
      <c r="AY27" s="252"/>
      <c r="AZ27" s="120"/>
      <c r="BA27" s="252"/>
      <c r="BB27" s="252"/>
      <c r="BC27" s="164">
        <f>BC26-BC28</f>
        <v>151128861.5499998</v>
      </c>
      <c r="BD27" s="272">
        <v>23107</v>
      </c>
      <c r="BE27" s="273"/>
      <c r="BF27" s="239">
        <f>BF26-BF28</f>
        <v>151936933.25</v>
      </c>
      <c r="BG27" s="272">
        <v>23827</v>
      </c>
      <c r="BH27" s="273"/>
      <c r="BI27" s="239">
        <v>115121515</v>
      </c>
      <c r="BJ27" s="272">
        <v>15522</v>
      </c>
      <c r="BK27" s="273"/>
      <c r="BO27" s="82" t="s">
        <v>95</v>
      </c>
    </row>
    <row r="28" spans="1:67" ht="28.8" x14ac:dyDescent="0.3">
      <c r="B28" s="182" t="s">
        <v>98</v>
      </c>
      <c r="C28" s="15"/>
      <c r="D28" s="6"/>
      <c r="E28" s="6"/>
      <c r="F28" s="71">
        <v>5201507.9800000004</v>
      </c>
      <c r="G28" s="15">
        <v>3523</v>
      </c>
      <c r="H28" s="112"/>
      <c r="I28" s="71">
        <v>4410776.2099999972</v>
      </c>
      <c r="J28" s="15">
        <v>1031</v>
      </c>
      <c r="K28" s="49">
        <f t="shared" si="5"/>
        <v>-0.1520197167898997</v>
      </c>
      <c r="L28" s="49">
        <f t="shared" si="5"/>
        <v>-0.70735168890150435</v>
      </c>
      <c r="M28" s="71">
        <v>1671414</v>
      </c>
      <c r="N28" s="15">
        <v>481</v>
      </c>
      <c r="O28" s="130"/>
      <c r="R28" s="82"/>
      <c r="S28" s="82"/>
      <c r="Y28" s="156">
        <v>2028623.68</v>
      </c>
      <c r="Z28" s="15">
        <v>475</v>
      </c>
      <c r="AA28" s="82"/>
      <c r="AB28" s="82"/>
      <c r="AC28" s="165">
        <f>AC26-AC27</f>
        <v>712685.63999998569</v>
      </c>
      <c r="AD28" s="272">
        <f>1004-328+175</f>
        <v>851</v>
      </c>
      <c r="AE28" s="273"/>
      <c r="AI28" s="175"/>
      <c r="AJ28" s="252"/>
      <c r="AK28" s="252"/>
      <c r="AL28" s="165">
        <v>1817586.57</v>
      </c>
      <c r="AM28" s="272">
        <v>594</v>
      </c>
      <c r="AN28" s="273"/>
      <c r="AO28" s="82" t="s">
        <v>94</v>
      </c>
      <c r="AT28" s="189">
        <f>939776.42+1608224.15</f>
        <v>2548000.5699999998</v>
      </c>
      <c r="AU28" s="338">
        <f>924+365</f>
        <v>1289</v>
      </c>
      <c r="AV28" s="339"/>
      <c r="AW28" s="175"/>
      <c r="AX28" s="252"/>
      <c r="AY28" s="252"/>
      <c r="AZ28" s="175"/>
      <c r="BA28" s="252"/>
      <c r="BB28" s="252"/>
      <c r="BC28" s="239">
        <f>502005.94+861471</f>
        <v>1363476.94</v>
      </c>
      <c r="BD28" s="272">
        <v>660</v>
      </c>
      <c r="BE28" s="273"/>
      <c r="BF28" s="239">
        <f>279812.27+3576196.28+1445496.54-1192019.24</f>
        <v>4109485.8499999996</v>
      </c>
      <c r="BG28" s="272">
        <v>815</v>
      </c>
      <c r="BH28" s="273"/>
      <c r="BI28" s="239">
        <v>8515514.3499999996</v>
      </c>
      <c r="BJ28" s="272">
        <v>1290</v>
      </c>
      <c r="BK28" s="273"/>
      <c r="BO28" s="82" t="s">
        <v>95</v>
      </c>
    </row>
    <row r="29" spans="1:67" s="219" customFormat="1" x14ac:dyDescent="0.3">
      <c r="A29" s="82"/>
      <c r="B29" s="6" t="s">
        <v>35</v>
      </c>
      <c r="C29" s="114"/>
      <c r="D29" s="115"/>
      <c r="E29" s="115"/>
      <c r="F29" s="78">
        <f>G27/G26</f>
        <v>0.73978177528752576</v>
      </c>
      <c r="G29" s="226"/>
      <c r="H29" s="79"/>
      <c r="I29" s="79">
        <f>J27/J26</f>
        <v>0.92838036645713518</v>
      </c>
      <c r="J29" s="227"/>
      <c r="K29" s="228"/>
      <c r="L29" s="229"/>
      <c r="M29" s="79">
        <f>N27/N26</f>
        <v>0.9288820060754065</v>
      </c>
      <c r="N29" s="214"/>
      <c r="O29" s="215"/>
      <c r="P29" s="217"/>
      <c r="Q29" s="218"/>
      <c r="T29" s="216"/>
      <c r="U29" s="216"/>
      <c r="V29" s="216"/>
      <c r="W29" s="216"/>
      <c r="X29" s="216"/>
      <c r="Y29" s="230">
        <f>Z27/Z26</f>
        <v>0.97544458229942099</v>
      </c>
      <c r="Z29" s="227"/>
      <c r="AA29" s="231"/>
      <c r="AB29" s="231"/>
      <c r="AC29" s="207">
        <f>AD27/AD26</f>
        <v>0.96006757073811644</v>
      </c>
      <c r="AD29" s="232"/>
      <c r="AE29" s="233"/>
      <c r="AF29" s="231"/>
      <c r="AG29" s="231"/>
      <c r="AH29" s="231"/>
      <c r="AI29" s="213"/>
      <c r="AJ29" s="232"/>
      <c r="AK29" s="233"/>
      <c r="AL29" s="207">
        <f>AM27/AM26</f>
        <v>0.9735270523219538</v>
      </c>
      <c r="AM29" s="232"/>
      <c r="AN29" s="233"/>
      <c r="AO29" s="231"/>
      <c r="AP29" s="231"/>
      <c r="AQ29" s="231"/>
      <c r="AR29" s="231"/>
      <c r="AS29" s="231"/>
      <c r="AT29" s="207">
        <f>(23796-132)/23796</f>
        <v>0.99445284921835597</v>
      </c>
      <c r="AU29" s="223" t="s">
        <v>113</v>
      </c>
      <c r="AV29" s="224"/>
      <c r="AW29" s="222"/>
      <c r="AX29" s="220"/>
      <c r="AY29" s="221"/>
      <c r="AZ29" s="222"/>
      <c r="BA29" s="220"/>
      <c r="BB29" s="221"/>
      <c r="BC29" s="207">
        <f>BD27/BD26</f>
        <v>0.94511022945723755</v>
      </c>
      <c r="BD29" s="240"/>
      <c r="BE29" s="241"/>
      <c r="BF29" s="207">
        <f>BG27/BG26</f>
        <v>0.93194352094496813</v>
      </c>
      <c r="BG29" s="223"/>
      <c r="BH29" s="225"/>
      <c r="BI29" s="207">
        <f>BJ27/BJ26</f>
        <v>0.59702296242163155</v>
      </c>
      <c r="BJ29" s="223"/>
      <c r="BK29" s="225"/>
    </row>
    <row r="30" spans="1:67" ht="18" customHeight="1" x14ac:dyDescent="0.3">
      <c r="B30" s="116" t="s">
        <v>41</v>
      </c>
      <c r="C30" s="117"/>
      <c r="D30" s="118"/>
      <c r="E30" s="118"/>
      <c r="F30" s="119"/>
      <c r="I30" s="120"/>
      <c r="J30" s="62"/>
      <c r="K30" s="62"/>
      <c r="L30" s="121"/>
      <c r="M30" s="121"/>
      <c r="N30" s="121"/>
      <c r="O30" s="121"/>
      <c r="P30" s="152"/>
      <c r="Q30" s="62"/>
      <c r="R30" s="62"/>
      <c r="S30" s="121"/>
      <c r="T30" s="158"/>
      <c r="U30" s="121"/>
      <c r="V30" s="121"/>
      <c r="W30" s="121"/>
      <c r="X30" s="121"/>
      <c r="Y30" s="121"/>
      <c r="Z30" s="63"/>
      <c r="AA30" s="63"/>
      <c r="AB30" s="62"/>
      <c r="AL30" s="328"/>
      <c r="AM30" s="265"/>
      <c r="AN30" s="265"/>
      <c r="AO30" s="64"/>
      <c r="AP30" s="64"/>
      <c r="AQ30" s="64"/>
      <c r="AR30" s="64"/>
      <c r="AS30" s="64"/>
      <c r="AT30" s="265"/>
      <c r="AU30" s="265"/>
      <c r="AV30" s="265"/>
      <c r="AW30" s="265"/>
      <c r="AX30" s="265"/>
      <c r="AY30" s="265"/>
      <c r="AZ30" s="265"/>
      <c r="BA30" s="265"/>
      <c r="BB30" s="265"/>
      <c r="BC30" s="265"/>
      <c r="BD30" s="265"/>
      <c r="BE30" s="265"/>
      <c r="BF30" s="265"/>
      <c r="BG30" s="265"/>
      <c r="BH30" s="265"/>
    </row>
    <row r="31" spans="1:67" ht="18" customHeight="1" x14ac:dyDescent="0.3">
      <c r="B31" s="209" t="s">
        <v>120</v>
      </c>
      <c r="C31" s="210"/>
      <c r="D31" s="211"/>
      <c r="E31" s="64"/>
      <c r="F31" s="120"/>
      <c r="I31" s="120"/>
      <c r="J31" s="62"/>
      <c r="K31" s="62"/>
      <c r="L31" s="121"/>
      <c r="M31" s="121"/>
      <c r="N31" s="121"/>
      <c r="O31" s="121"/>
      <c r="P31" s="63"/>
      <c r="Q31" s="62"/>
      <c r="R31" s="62"/>
      <c r="S31" s="121"/>
      <c r="T31" s="121"/>
      <c r="U31" s="121"/>
      <c r="V31" s="121"/>
      <c r="W31" s="121"/>
      <c r="X31" s="121"/>
      <c r="Y31" s="121"/>
      <c r="Z31" s="63"/>
      <c r="AA31" s="63"/>
      <c r="AB31" s="234">
        <f>+AD26-Z26</f>
        <v>1967</v>
      </c>
      <c r="AC31" s="235"/>
      <c r="AD31" s="235"/>
      <c r="AE31" s="235"/>
      <c r="AF31" s="235"/>
      <c r="AG31" s="235"/>
      <c r="AH31" s="235"/>
      <c r="AI31" s="235"/>
      <c r="AJ31" s="236">
        <f>+AM26-AD26</f>
        <v>1127</v>
      </c>
      <c r="AK31" s="235"/>
      <c r="AL31" s="237"/>
      <c r="AM31" s="327"/>
      <c r="AN31" s="327"/>
      <c r="AO31" s="238"/>
      <c r="AP31" s="238"/>
      <c r="AQ31" s="238"/>
      <c r="AR31" s="238"/>
      <c r="AS31" s="238"/>
      <c r="AT31" s="237"/>
      <c r="AU31" s="327">
        <f>+AU26-AM26</f>
        <v>1358</v>
      </c>
      <c r="AV31" s="327"/>
      <c r="AW31" s="67"/>
      <c r="AX31" s="340"/>
      <c r="AY31" s="340"/>
      <c r="AZ31" s="67"/>
      <c r="BA31" s="340"/>
      <c r="BB31" s="340"/>
      <c r="BC31" s="67"/>
      <c r="BD31" s="340"/>
      <c r="BE31" s="340"/>
      <c r="BF31" s="67"/>
      <c r="BG31" s="340"/>
      <c r="BH31" s="340"/>
    </row>
    <row r="32" spans="1:67" x14ac:dyDescent="0.3">
      <c r="F32" s="290" t="s">
        <v>47</v>
      </c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62"/>
      <c r="V32" s="83"/>
      <c r="W32" s="163"/>
      <c r="AN32" s="181"/>
    </row>
    <row r="33" spans="2:67" ht="15" thickBot="1" x14ac:dyDescent="0.35"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79"/>
      <c r="V33" s="83"/>
      <c r="W33" s="163"/>
      <c r="AN33" s="181"/>
    </row>
    <row r="34" spans="2:67" ht="36" customHeight="1" x14ac:dyDescent="0.3">
      <c r="B34" s="279" t="s">
        <v>43</v>
      </c>
      <c r="C34" s="117"/>
      <c r="D34" s="118"/>
      <c r="E34" s="118"/>
      <c r="H34" s="108"/>
      <c r="I34" s="187" t="s">
        <v>70</v>
      </c>
      <c r="K34" s="177"/>
      <c r="L34" s="199"/>
      <c r="M34" s="194" t="s">
        <v>69</v>
      </c>
      <c r="N34" s="128"/>
      <c r="O34" s="132"/>
      <c r="P34" s="185" t="s">
        <v>68</v>
      </c>
      <c r="T34" s="186" t="s">
        <v>67</v>
      </c>
      <c r="W34" s="168" t="s">
        <v>66</v>
      </c>
      <c r="Z34" s="169" t="s">
        <v>65</v>
      </c>
      <c r="AA34" s="82"/>
      <c r="AB34" s="82"/>
      <c r="AC34" s="170" t="s">
        <v>64</v>
      </c>
      <c r="AF34" s="171" t="s">
        <v>77</v>
      </c>
      <c r="AI34" s="178" t="s">
        <v>86</v>
      </c>
      <c r="AJ34" s="176"/>
      <c r="AK34" s="177"/>
      <c r="AL34" s="193" t="s">
        <v>96</v>
      </c>
      <c r="AN34" s="188"/>
      <c r="AT34" s="192" t="s">
        <v>100</v>
      </c>
      <c r="AW34" s="191" t="s">
        <v>101</v>
      </c>
      <c r="AZ34" s="203" t="s">
        <v>102</v>
      </c>
      <c r="BC34" s="206" t="s">
        <v>105</v>
      </c>
      <c r="BF34" s="192" t="s">
        <v>108</v>
      </c>
      <c r="BI34" s="242" t="s">
        <v>114</v>
      </c>
      <c r="BL34" s="244" t="s">
        <v>118</v>
      </c>
    </row>
    <row r="35" spans="2:67" ht="15" thickBot="1" x14ac:dyDescent="0.35">
      <c r="B35" s="280"/>
      <c r="C35" s="62"/>
      <c r="D35" s="64"/>
      <c r="E35" s="64"/>
      <c r="H35" s="123"/>
      <c r="I35" s="90" t="s">
        <v>4</v>
      </c>
      <c r="K35" s="123"/>
      <c r="L35" s="200"/>
      <c r="M35" s="195" t="s">
        <v>4</v>
      </c>
      <c r="N35" s="125"/>
      <c r="O35" s="125"/>
      <c r="P35" s="90" t="s">
        <v>4</v>
      </c>
      <c r="T35" s="90" t="s">
        <v>4</v>
      </c>
      <c r="W35" s="90" t="s">
        <v>4</v>
      </c>
      <c r="Z35" s="90" t="s">
        <v>4</v>
      </c>
      <c r="AA35" s="120"/>
      <c r="AB35" s="124"/>
      <c r="AC35" s="90" t="s">
        <v>4</v>
      </c>
      <c r="AF35" s="90" t="s">
        <v>4</v>
      </c>
      <c r="AI35" s="90" t="s">
        <v>4</v>
      </c>
      <c r="AL35" s="90" t="s">
        <v>4</v>
      </c>
      <c r="AT35" s="90" t="s">
        <v>4</v>
      </c>
      <c r="AW35" s="90" t="s">
        <v>4</v>
      </c>
      <c r="AZ35" s="90" t="s">
        <v>4</v>
      </c>
      <c r="BC35" s="205" t="s">
        <v>4</v>
      </c>
      <c r="BF35" s="208" t="s">
        <v>4</v>
      </c>
      <c r="BI35" s="212" t="s">
        <v>4</v>
      </c>
      <c r="BL35" s="243" t="s">
        <v>4</v>
      </c>
      <c r="BO35" s="82" t="s">
        <v>117</v>
      </c>
    </row>
    <row r="36" spans="2:67" x14ac:dyDescent="0.3">
      <c r="B36" s="76" t="s">
        <v>71</v>
      </c>
      <c r="C36" s="18"/>
      <c r="D36" s="18"/>
      <c r="E36" s="18"/>
      <c r="H36" s="20"/>
      <c r="I36" s="72"/>
      <c r="K36" s="61"/>
      <c r="L36" s="201"/>
      <c r="M36" s="196"/>
      <c r="N36" s="63"/>
      <c r="O36" s="63"/>
      <c r="P36" s="18"/>
      <c r="T36" s="18"/>
      <c r="W36" s="18"/>
      <c r="Z36" s="18"/>
      <c r="AA36" s="59"/>
      <c r="AB36" s="62"/>
      <c r="AC36" s="18"/>
      <c r="AF36" s="18"/>
      <c r="AI36" s="18"/>
      <c r="AL36" s="18"/>
      <c r="AT36" s="18"/>
      <c r="AW36" s="18"/>
      <c r="AZ36" s="18"/>
      <c r="BC36" s="18"/>
      <c r="BF36" s="18"/>
      <c r="BI36" s="18"/>
      <c r="BL36" s="18"/>
      <c r="BO36" s="82" t="s">
        <v>117</v>
      </c>
    </row>
    <row r="37" spans="2:67" x14ac:dyDescent="0.3">
      <c r="B37" s="6" t="s">
        <v>50</v>
      </c>
      <c r="C37" s="18" t="s">
        <v>7</v>
      </c>
      <c r="D37" s="18" t="s">
        <v>7</v>
      </c>
      <c r="E37" s="18" t="s">
        <v>7</v>
      </c>
      <c r="H37" s="58"/>
      <c r="I37" s="81">
        <v>22320</v>
      </c>
      <c r="K37" s="61"/>
      <c r="L37" s="201"/>
      <c r="M37" s="197">
        <v>16116</v>
      </c>
      <c r="N37" s="63"/>
      <c r="O37" s="63"/>
      <c r="P37" s="81">
        <v>8928</v>
      </c>
      <c r="T37" s="81">
        <v>12716</v>
      </c>
      <c r="W37" s="81">
        <v>15868</v>
      </c>
      <c r="Z37" s="81">
        <v>29070</v>
      </c>
      <c r="AA37" s="65"/>
      <c r="AB37" s="62"/>
      <c r="AC37" s="81">
        <v>25708</v>
      </c>
      <c r="AF37" s="81">
        <v>27353</v>
      </c>
      <c r="AI37" s="81">
        <v>29632</v>
      </c>
      <c r="AL37" s="81">
        <v>39903</v>
      </c>
      <c r="AT37" s="81">
        <v>39324</v>
      </c>
      <c r="AW37" s="81">
        <v>35860</v>
      </c>
      <c r="AY37" s="173"/>
      <c r="AZ37" s="81">
        <v>22969</v>
      </c>
      <c r="BB37" s="173"/>
      <c r="BC37" s="81">
        <v>25501</v>
      </c>
      <c r="BE37" s="173"/>
      <c r="BF37" s="81">
        <v>27525</v>
      </c>
      <c r="BI37" s="81">
        <v>20937</v>
      </c>
      <c r="BL37" s="81">
        <v>22075</v>
      </c>
      <c r="BO37" s="82" t="s">
        <v>117</v>
      </c>
    </row>
    <row r="38" spans="2:67" x14ac:dyDescent="0.3">
      <c r="B38" s="6" t="s">
        <v>51</v>
      </c>
      <c r="C38" s="18" t="s">
        <v>7</v>
      </c>
      <c r="D38" s="18" t="s">
        <v>7</v>
      </c>
      <c r="E38" s="18" t="s">
        <v>7</v>
      </c>
      <c r="H38" s="20"/>
      <c r="I38" s="15">
        <v>1524</v>
      </c>
      <c r="K38" s="61"/>
      <c r="L38" s="201"/>
      <c r="M38" s="190">
        <v>2184</v>
      </c>
      <c r="N38" s="63"/>
      <c r="O38" s="63"/>
      <c r="P38" s="15">
        <v>1332</v>
      </c>
      <c r="T38" s="15">
        <v>1500</v>
      </c>
      <c r="W38" s="15">
        <v>3824</v>
      </c>
      <c r="Z38" s="15">
        <v>2079</v>
      </c>
      <c r="AA38" s="65"/>
      <c r="AB38" s="62"/>
      <c r="AC38" s="15">
        <v>2244</v>
      </c>
      <c r="AF38" s="15">
        <v>1076</v>
      </c>
      <c r="AI38" s="15">
        <v>1232</v>
      </c>
      <c r="AL38" s="15">
        <v>1455</v>
      </c>
      <c r="AT38" s="15">
        <v>816</v>
      </c>
      <c r="AW38" s="15">
        <v>1650</v>
      </c>
      <c r="AY38" s="173"/>
      <c r="AZ38" s="15">
        <v>1345</v>
      </c>
      <c r="BB38" s="173"/>
      <c r="BC38" s="15">
        <v>851</v>
      </c>
      <c r="BE38" s="173"/>
      <c r="BF38" s="15">
        <v>615</v>
      </c>
      <c r="BI38" s="15">
        <v>761</v>
      </c>
      <c r="BL38" s="15">
        <v>1558</v>
      </c>
      <c r="BO38" s="82" t="s">
        <v>117</v>
      </c>
    </row>
    <row r="39" spans="2:67" ht="15" customHeight="1" x14ac:dyDescent="0.3">
      <c r="B39" s="6" t="s">
        <v>16</v>
      </c>
      <c r="C39" s="18" t="s">
        <v>7</v>
      </c>
      <c r="D39" s="18" t="s">
        <v>7</v>
      </c>
      <c r="E39" s="18" t="s">
        <v>7</v>
      </c>
      <c r="H39" s="20"/>
      <c r="I39" s="15">
        <v>7344</v>
      </c>
      <c r="K39" s="61"/>
      <c r="L39" s="201"/>
      <c r="M39" s="190">
        <v>4932</v>
      </c>
      <c r="N39" s="63"/>
      <c r="O39" s="63"/>
      <c r="P39" s="15">
        <v>3324</v>
      </c>
      <c r="T39" s="160" t="s">
        <v>63</v>
      </c>
      <c r="W39" s="160" t="s">
        <v>63</v>
      </c>
      <c r="Z39" s="15">
        <v>5916</v>
      </c>
      <c r="AA39" s="65"/>
      <c r="AB39" s="62"/>
      <c r="AC39" s="15">
        <v>5408</v>
      </c>
      <c r="AF39" s="15">
        <v>4750</v>
      </c>
      <c r="AI39" s="15">
        <v>5122</v>
      </c>
      <c r="AL39" s="15">
        <v>7896</v>
      </c>
      <c r="AT39" s="15">
        <v>8893</v>
      </c>
      <c r="AW39" s="15">
        <v>7682</v>
      </c>
      <c r="AY39" s="173"/>
      <c r="AZ39" s="15">
        <v>4436</v>
      </c>
      <c r="BB39" s="173"/>
      <c r="BC39" s="15">
        <v>3914</v>
      </c>
      <c r="BE39" s="173"/>
      <c r="BF39" s="15">
        <v>4583</v>
      </c>
      <c r="BI39" s="15">
        <v>4307</v>
      </c>
      <c r="BL39" s="15">
        <v>4108</v>
      </c>
      <c r="BO39" s="82" t="s">
        <v>117</v>
      </c>
    </row>
    <row r="40" spans="2:67" x14ac:dyDescent="0.3">
      <c r="B40" s="6" t="s">
        <v>52</v>
      </c>
      <c r="C40" s="18" t="s">
        <v>7</v>
      </c>
      <c r="D40" s="18" t="s">
        <v>7</v>
      </c>
      <c r="E40" s="18" t="s">
        <v>7</v>
      </c>
      <c r="H40" s="20"/>
      <c r="I40" s="15">
        <v>42744</v>
      </c>
      <c r="K40" s="61"/>
      <c r="L40" s="201"/>
      <c r="M40" s="190">
        <v>52788</v>
      </c>
      <c r="N40" s="63"/>
      <c r="O40" s="63"/>
      <c r="P40" s="15">
        <v>37968</v>
      </c>
      <c r="T40" s="15">
        <v>30024</v>
      </c>
      <c r="W40" s="15">
        <v>49424</v>
      </c>
      <c r="Z40" s="15">
        <v>37053</v>
      </c>
      <c r="AA40" s="65"/>
      <c r="AB40" s="62"/>
      <c r="AC40" s="15">
        <v>42988</v>
      </c>
      <c r="AF40" s="15">
        <v>31753</v>
      </c>
      <c r="AI40" s="15">
        <v>36676</v>
      </c>
      <c r="AL40" s="15">
        <v>34252</v>
      </c>
      <c r="AT40" s="15">
        <v>29782</v>
      </c>
      <c r="AW40" s="15">
        <v>32551</v>
      </c>
      <c r="AY40" s="173"/>
      <c r="AZ40" s="15">
        <v>20084</v>
      </c>
      <c r="BB40" s="173"/>
      <c r="BC40" s="15">
        <v>28428</v>
      </c>
      <c r="BE40" s="173"/>
      <c r="BF40" s="15">
        <v>19114</v>
      </c>
      <c r="BI40" s="15">
        <v>19018</v>
      </c>
      <c r="BL40" s="15">
        <v>19106</v>
      </c>
      <c r="BO40" s="82" t="s">
        <v>117</v>
      </c>
    </row>
    <row r="41" spans="2:67" x14ac:dyDescent="0.3">
      <c r="B41" s="6" t="s">
        <v>53</v>
      </c>
      <c r="C41" s="18" t="s">
        <v>7</v>
      </c>
      <c r="D41" s="18" t="s">
        <v>7</v>
      </c>
      <c r="E41" s="18" t="s">
        <v>7</v>
      </c>
      <c r="H41" s="20"/>
      <c r="I41" s="15">
        <v>600</v>
      </c>
      <c r="K41" s="61"/>
      <c r="L41" s="201"/>
      <c r="M41" s="190">
        <v>552</v>
      </c>
      <c r="N41" s="63"/>
      <c r="O41" s="63"/>
      <c r="P41" s="15">
        <v>156</v>
      </c>
      <c r="T41" s="15">
        <v>172</v>
      </c>
      <c r="W41" s="15">
        <v>168</v>
      </c>
      <c r="Z41" s="15">
        <v>633</v>
      </c>
      <c r="AA41" s="65"/>
      <c r="AB41" s="62"/>
      <c r="AC41" s="15">
        <v>2096</v>
      </c>
      <c r="AF41" s="15">
        <v>705</v>
      </c>
      <c r="AI41" s="15">
        <v>1336</v>
      </c>
      <c r="AL41" s="15">
        <v>1306</v>
      </c>
      <c r="AT41" s="15">
        <v>1115</v>
      </c>
      <c r="AW41" s="15">
        <v>1880</v>
      </c>
      <c r="AY41" s="173"/>
      <c r="AZ41" s="15">
        <v>873</v>
      </c>
      <c r="BB41" s="173"/>
      <c r="BC41" s="15">
        <v>543</v>
      </c>
      <c r="BE41" s="173"/>
      <c r="BF41" s="15">
        <v>534</v>
      </c>
      <c r="BI41" s="15">
        <v>433</v>
      </c>
      <c r="BL41" s="15">
        <v>1002</v>
      </c>
      <c r="BO41" s="82" t="s">
        <v>117</v>
      </c>
    </row>
    <row r="42" spans="2:67" hidden="1" x14ac:dyDescent="0.3">
      <c r="B42" s="6" t="s">
        <v>54</v>
      </c>
      <c r="C42" s="18" t="s">
        <v>7</v>
      </c>
      <c r="D42" s="18" t="s">
        <v>7</v>
      </c>
      <c r="E42" s="18" t="s">
        <v>7</v>
      </c>
      <c r="H42" s="20"/>
      <c r="I42" s="15">
        <v>888</v>
      </c>
      <c r="K42" s="61"/>
      <c r="L42" s="201"/>
      <c r="M42" s="190">
        <v>612</v>
      </c>
      <c r="N42" s="63"/>
      <c r="O42" s="63"/>
      <c r="P42" s="15">
        <v>72</v>
      </c>
      <c r="T42" s="15">
        <v>220</v>
      </c>
      <c r="W42" s="15">
        <v>32</v>
      </c>
      <c r="Z42" s="15">
        <v>0</v>
      </c>
      <c r="AA42" s="65"/>
      <c r="AB42" s="62"/>
      <c r="AC42" s="15">
        <v>0</v>
      </c>
      <c r="AF42" s="15"/>
      <c r="AI42" s="15"/>
      <c r="AL42" s="15"/>
      <c r="AT42" s="15"/>
      <c r="AW42" s="15"/>
      <c r="AZ42" s="15"/>
      <c r="BC42" s="15"/>
      <c r="BF42" s="15"/>
      <c r="BI42" s="15"/>
      <c r="BL42" s="15"/>
      <c r="BO42" s="82" t="s">
        <v>117</v>
      </c>
    </row>
    <row r="43" spans="2:67" x14ac:dyDescent="0.3">
      <c r="B43" s="6" t="s">
        <v>55</v>
      </c>
      <c r="C43" s="18" t="s">
        <v>7</v>
      </c>
      <c r="D43" s="18" t="s">
        <v>7</v>
      </c>
      <c r="E43" s="18" t="s">
        <v>7</v>
      </c>
      <c r="H43" s="20"/>
      <c r="I43" s="15">
        <v>16284</v>
      </c>
      <c r="K43" s="61"/>
      <c r="L43" s="201"/>
      <c r="M43" s="190">
        <v>10956</v>
      </c>
      <c r="N43" s="63"/>
      <c r="O43" s="63"/>
      <c r="P43" s="15">
        <v>7476</v>
      </c>
      <c r="T43" s="15">
        <v>10496</v>
      </c>
      <c r="W43" s="15">
        <v>14304</v>
      </c>
      <c r="Z43" s="15">
        <v>16659</v>
      </c>
      <c r="AA43" s="65"/>
      <c r="AB43" s="62"/>
      <c r="AC43" s="15">
        <v>20236</v>
      </c>
      <c r="AF43" s="15">
        <v>16164</v>
      </c>
      <c r="AI43" s="15">
        <v>18011</v>
      </c>
      <c r="AL43" s="15">
        <v>15884</v>
      </c>
      <c r="AT43" s="15">
        <v>12227</v>
      </c>
      <c r="AW43" s="15">
        <v>18465</v>
      </c>
      <c r="AY43" s="173"/>
      <c r="AZ43" s="15">
        <v>14326</v>
      </c>
      <c r="BB43" s="173"/>
      <c r="BC43" s="15">
        <v>15418</v>
      </c>
      <c r="BE43" s="173"/>
      <c r="BF43" s="15">
        <v>17570</v>
      </c>
      <c r="BI43" s="15">
        <v>14866</v>
      </c>
      <c r="BL43" s="15">
        <v>14863</v>
      </c>
      <c r="BO43" s="82" t="s">
        <v>117</v>
      </c>
    </row>
    <row r="44" spans="2:67" x14ac:dyDescent="0.3">
      <c r="B44" s="6" t="s">
        <v>56</v>
      </c>
      <c r="C44" s="18" t="s">
        <v>7</v>
      </c>
      <c r="D44" s="18" t="s">
        <v>7</v>
      </c>
      <c r="E44" s="18" t="s">
        <v>7</v>
      </c>
      <c r="H44" s="20"/>
      <c r="I44" s="15">
        <v>1499</v>
      </c>
      <c r="K44" s="61"/>
      <c r="L44" s="201"/>
      <c r="M44" s="190">
        <f>924+1140+408</f>
        <v>2472</v>
      </c>
      <c r="N44" s="63"/>
      <c r="O44" s="63"/>
      <c r="P44" s="15">
        <f>600+780+516</f>
        <v>1896</v>
      </c>
      <c r="T44" s="15">
        <v>4836</v>
      </c>
      <c r="W44" s="15">
        <v>3536</v>
      </c>
      <c r="Z44" s="15">
        <v>4140</v>
      </c>
      <c r="AA44" s="65"/>
      <c r="AB44" s="62"/>
      <c r="AC44" s="15">
        <v>3692</v>
      </c>
      <c r="AF44" s="15">
        <v>5663</v>
      </c>
      <c r="AI44" s="15">
        <v>5588</v>
      </c>
      <c r="AL44" s="15">
        <v>5506</v>
      </c>
      <c r="AT44" s="15">
        <f>3800+195</f>
        <v>3995</v>
      </c>
      <c r="AW44" s="15">
        <v>6891</v>
      </c>
      <c r="AY44" s="173"/>
      <c r="AZ44" s="15">
        <v>3480</v>
      </c>
      <c r="BB44" s="173"/>
      <c r="BC44" s="15">
        <f>2520+215+905+732</f>
        <v>4372</v>
      </c>
      <c r="BE44" s="173"/>
      <c r="BF44" s="15">
        <f>2302+316+1248+658</f>
        <v>4524</v>
      </c>
      <c r="BI44" s="15">
        <v>3705</v>
      </c>
      <c r="BL44" s="15">
        <v>4610</v>
      </c>
      <c r="BO44" s="82" t="s">
        <v>117</v>
      </c>
    </row>
    <row r="45" spans="2:67" ht="15.45" hidden="1" customHeight="1" x14ac:dyDescent="0.3">
      <c r="B45" s="6" t="s">
        <v>30</v>
      </c>
      <c r="C45" s="18" t="s">
        <v>7</v>
      </c>
      <c r="D45" s="18" t="s">
        <v>7</v>
      </c>
      <c r="E45" s="18" t="s">
        <v>7</v>
      </c>
      <c r="H45" s="20"/>
      <c r="I45" s="15"/>
      <c r="K45" s="61"/>
      <c r="L45" s="201"/>
      <c r="M45" s="190"/>
      <c r="N45" s="63"/>
      <c r="O45" s="63"/>
      <c r="P45" s="15"/>
      <c r="T45" s="15"/>
      <c r="W45" s="15"/>
      <c r="Z45" s="15"/>
      <c r="AA45" s="65"/>
      <c r="AB45" s="62"/>
      <c r="AC45" s="15"/>
      <c r="AF45" s="15"/>
      <c r="AI45" s="15"/>
      <c r="AL45" s="15"/>
      <c r="AT45" s="15"/>
      <c r="AW45" s="15"/>
      <c r="AZ45" s="15"/>
      <c r="BC45" s="15"/>
      <c r="BF45" s="15"/>
      <c r="BI45" s="15"/>
      <c r="BL45" s="15"/>
      <c r="BO45" s="82" t="s">
        <v>117</v>
      </c>
    </row>
    <row r="46" spans="2:67" s="93" customFormat="1" ht="19.95" customHeight="1" thickBot="1" x14ac:dyDescent="0.35">
      <c r="B46" s="126" t="s">
        <v>24</v>
      </c>
      <c r="C46" s="127"/>
      <c r="D46" s="66"/>
      <c r="E46" s="66"/>
      <c r="H46" s="52">
        <f>SUM(H37:H44)-H42</f>
        <v>0</v>
      </c>
      <c r="I46" s="52">
        <f>SUM(I37:I44)-I42</f>
        <v>92315</v>
      </c>
      <c r="K46" s="69"/>
      <c r="L46" s="202"/>
      <c r="M46" s="198">
        <f>SUM(M37:M44)-M42</f>
        <v>90000</v>
      </c>
      <c r="N46" s="63"/>
      <c r="O46" s="63"/>
      <c r="P46" s="52">
        <f>SUM(P37:P44)-P42</f>
        <v>61080</v>
      </c>
      <c r="T46" s="52">
        <f>SUM(T37:T44)-T42</f>
        <v>59744</v>
      </c>
      <c r="W46" s="52">
        <f>SUM(W37:W44)-W42</f>
        <v>87124</v>
      </c>
      <c r="Z46" s="52">
        <f>SUM(Z37:Z44)-Z42</f>
        <v>95550</v>
      </c>
      <c r="AA46" s="67"/>
      <c r="AB46" s="67"/>
      <c r="AC46" s="52">
        <f>SUM(AC37:AC44)-AC42</f>
        <v>102372</v>
      </c>
      <c r="AF46" s="52">
        <f>SUM(AF37:AF44)-AF42</f>
        <v>87464</v>
      </c>
      <c r="AI46" s="52">
        <f>SUM(AI37:AI44)-AI42</f>
        <v>97597</v>
      </c>
      <c r="AL46" s="52">
        <f>SUM(AL37:AL44)-AL42</f>
        <v>106202</v>
      </c>
      <c r="AT46" s="52">
        <f>SUM(AT37:AT44)-AT42</f>
        <v>96152</v>
      </c>
      <c r="AW46" s="52">
        <f>SUM(AW37:AW44)-AW42</f>
        <v>104979</v>
      </c>
      <c r="AZ46" s="52">
        <f>SUM(AZ37:AZ44)-AZ42</f>
        <v>67513</v>
      </c>
      <c r="BC46" s="52">
        <f>SUM(BC37:BC44)-BC42</f>
        <v>79027</v>
      </c>
      <c r="BF46" s="52">
        <f>SUM(BF37:BF44)-BF42</f>
        <v>74465</v>
      </c>
      <c r="BI46" s="52">
        <f>SUM(BI37:BI44)-BI42</f>
        <v>64027</v>
      </c>
      <c r="BL46" s="52">
        <f>SUM(BL37:BL44)-BL42</f>
        <v>67322</v>
      </c>
      <c r="BO46" s="82" t="s">
        <v>117</v>
      </c>
    </row>
    <row r="47" spans="2:67" s="93" customFormat="1" ht="19.95" customHeight="1" thickTop="1" x14ac:dyDescent="0.3">
      <c r="B47" s="98"/>
      <c r="C47" s="74"/>
      <c r="D47" s="99"/>
      <c r="E47" s="99"/>
      <c r="F47" s="74"/>
      <c r="G47" s="74"/>
      <c r="H47" s="69"/>
      <c r="I47" s="74"/>
      <c r="J47" s="74"/>
      <c r="K47" s="69"/>
      <c r="L47" s="70"/>
      <c r="M47" s="74"/>
      <c r="N47" s="67"/>
      <c r="O47" s="67"/>
      <c r="P47" s="67"/>
      <c r="W47" s="77"/>
      <c r="Z47" s="67"/>
      <c r="AA47" s="67"/>
      <c r="AB47" s="67"/>
    </row>
    <row r="48" spans="2:67" s="93" customFormat="1" ht="19.95" customHeight="1" x14ac:dyDescent="0.3">
      <c r="B48" s="98"/>
      <c r="C48" s="74"/>
      <c r="D48" s="99"/>
      <c r="E48" s="99"/>
      <c r="F48" s="74"/>
      <c r="G48" s="74"/>
      <c r="H48" s="69"/>
      <c r="I48" s="74"/>
      <c r="J48" s="74"/>
      <c r="K48" s="69"/>
      <c r="L48" s="70"/>
      <c r="M48" s="74"/>
      <c r="N48" s="67"/>
      <c r="O48" s="67"/>
      <c r="P48" s="67"/>
      <c r="Q48" s="67"/>
      <c r="R48" s="67"/>
      <c r="S48" s="63"/>
      <c r="T48" s="63"/>
      <c r="U48" s="63"/>
      <c r="V48" s="63"/>
      <c r="W48" s="77"/>
      <c r="X48" s="63"/>
      <c r="Y48" s="63"/>
      <c r="Z48" s="67"/>
      <c r="AA48" s="67"/>
      <c r="AB48" s="67"/>
    </row>
    <row r="49" spans="2:28" s="93" customFormat="1" ht="19.95" customHeight="1" x14ac:dyDescent="0.3">
      <c r="B49" s="73" t="s">
        <v>36</v>
      </c>
      <c r="C49" s="74"/>
      <c r="D49" s="99"/>
      <c r="E49" s="99"/>
      <c r="F49" s="67"/>
      <c r="G49" s="67"/>
      <c r="H49" s="69"/>
      <c r="I49" s="70"/>
      <c r="J49" s="67"/>
      <c r="K49" s="67"/>
      <c r="L49" s="67"/>
      <c r="M49" s="67"/>
      <c r="N49" s="67"/>
      <c r="O49" s="67"/>
      <c r="R49" s="122"/>
      <c r="U49" s="167"/>
      <c r="V49" s="167"/>
      <c r="W49" s="77"/>
      <c r="X49" s="132"/>
      <c r="Y49" s="63"/>
      <c r="Z49" s="67"/>
      <c r="AA49" s="67"/>
      <c r="AB49" s="67"/>
    </row>
    <row r="50" spans="2:28" x14ac:dyDescent="0.3">
      <c r="B50" s="73" t="s">
        <v>80</v>
      </c>
      <c r="C50" s="62"/>
      <c r="D50" s="64"/>
      <c r="E50" s="64"/>
      <c r="F50" s="120"/>
      <c r="I50" s="77"/>
      <c r="J50" s="62"/>
      <c r="K50" s="62"/>
      <c r="L50" s="121"/>
      <c r="M50" s="121"/>
      <c r="N50" s="121"/>
      <c r="O50" s="121"/>
      <c r="R50" s="121"/>
      <c r="U50" s="124"/>
      <c r="V50" s="124"/>
      <c r="X50" s="125"/>
      <c r="Y50" s="121"/>
      <c r="Z50" s="120"/>
      <c r="AA50" s="120"/>
      <c r="AB50" s="62"/>
    </row>
    <row r="51" spans="2:28" x14ac:dyDescent="0.3">
      <c r="J51" s="62"/>
      <c r="K51" s="62"/>
      <c r="L51" s="121"/>
      <c r="M51" s="121"/>
      <c r="N51" s="121"/>
      <c r="O51" s="121"/>
      <c r="R51" s="63"/>
      <c r="U51" s="60"/>
      <c r="V51" s="60"/>
      <c r="X51" s="63"/>
      <c r="Y51" s="121"/>
      <c r="Z51" s="120"/>
      <c r="AA51" s="120"/>
      <c r="AB51" s="62"/>
    </row>
    <row r="52" spans="2:28" x14ac:dyDescent="0.3">
      <c r="R52" s="65"/>
      <c r="U52" s="62"/>
      <c r="V52" s="62"/>
      <c r="X52" s="63"/>
    </row>
    <row r="53" spans="2:28" x14ac:dyDescent="0.3">
      <c r="R53" s="65"/>
      <c r="U53" s="62"/>
      <c r="V53" s="62"/>
      <c r="X53" s="63"/>
    </row>
    <row r="54" spans="2:28" x14ac:dyDescent="0.3">
      <c r="R54" s="65"/>
      <c r="U54" s="62"/>
      <c r="V54" s="62"/>
      <c r="X54" s="63"/>
    </row>
    <row r="55" spans="2:28" x14ac:dyDescent="0.3">
      <c r="R55" s="65"/>
      <c r="U55" s="62"/>
      <c r="V55" s="62"/>
      <c r="X55" s="63"/>
    </row>
    <row r="56" spans="2:28" x14ac:dyDescent="0.3">
      <c r="R56" s="65"/>
      <c r="U56" s="62"/>
      <c r="V56" s="62"/>
      <c r="X56" s="63"/>
    </row>
    <row r="57" spans="2:28" x14ac:dyDescent="0.3">
      <c r="R57" s="65"/>
      <c r="U57" s="62"/>
      <c r="V57" s="62"/>
      <c r="X57" s="63"/>
    </row>
    <row r="58" spans="2:28" x14ac:dyDescent="0.3">
      <c r="R58" s="65"/>
      <c r="U58" s="62"/>
      <c r="V58" s="62"/>
      <c r="X58" s="63"/>
    </row>
    <row r="59" spans="2:28" x14ac:dyDescent="0.3">
      <c r="R59" s="65"/>
      <c r="U59" s="62"/>
      <c r="V59" s="62"/>
      <c r="W59" s="93"/>
      <c r="X59" s="63"/>
    </row>
    <row r="60" spans="2:28" x14ac:dyDescent="0.3">
      <c r="R60" s="63"/>
      <c r="U60" s="62"/>
      <c r="V60" s="62"/>
      <c r="W60" s="93"/>
      <c r="X60" s="63"/>
    </row>
    <row r="61" spans="2:28" x14ac:dyDescent="0.3">
      <c r="R61" s="67"/>
      <c r="U61" s="74"/>
      <c r="V61" s="74"/>
      <c r="W61" s="63"/>
      <c r="X61" s="63"/>
    </row>
    <row r="62" spans="2:28" x14ac:dyDescent="0.3">
      <c r="P62" s="67"/>
      <c r="Q62" s="67"/>
      <c r="R62" s="63"/>
      <c r="S62" s="63"/>
      <c r="T62" s="63"/>
      <c r="U62" s="63"/>
      <c r="V62" s="63"/>
      <c r="W62" s="128"/>
      <c r="X62" s="63"/>
    </row>
    <row r="63" spans="2:28" x14ac:dyDescent="0.3">
      <c r="P63" s="67"/>
      <c r="Q63" s="67"/>
      <c r="R63" s="67"/>
      <c r="S63" s="63"/>
      <c r="T63" s="63"/>
      <c r="U63" s="63"/>
      <c r="V63" s="63"/>
      <c r="W63" s="125"/>
      <c r="X63" s="63"/>
    </row>
    <row r="64" spans="2:28" x14ac:dyDescent="0.3">
      <c r="P64" s="120"/>
      <c r="Q64" s="62"/>
      <c r="R64" s="62"/>
      <c r="S64" s="121"/>
      <c r="T64" s="121"/>
      <c r="U64" s="121"/>
      <c r="V64" s="121"/>
      <c r="W64" s="63"/>
      <c r="X64" s="121"/>
    </row>
    <row r="65" spans="16:24" x14ac:dyDescent="0.3">
      <c r="P65" s="120"/>
      <c r="Q65" s="62"/>
      <c r="R65" s="62"/>
      <c r="S65" s="121"/>
      <c r="T65" s="121"/>
      <c r="U65" s="121"/>
      <c r="V65" s="121"/>
      <c r="W65" s="166" t="s">
        <v>79</v>
      </c>
      <c r="X65" s="121"/>
    </row>
    <row r="66" spans="16:24" x14ac:dyDescent="0.3">
      <c r="W66" s="166" t="s">
        <v>79</v>
      </c>
    </row>
    <row r="67" spans="16:24" x14ac:dyDescent="0.3">
      <c r="W67" s="166" t="s">
        <v>79</v>
      </c>
    </row>
    <row r="68" spans="16:24" x14ac:dyDescent="0.3">
      <c r="W68" s="166" t="s">
        <v>79</v>
      </c>
    </row>
    <row r="69" spans="16:24" x14ac:dyDescent="0.3">
      <c r="W69" s="166" t="s">
        <v>79</v>
      </c>
    </row>
    <row r="70" spans="16:24" x14ac:dyDescent="0.3">
      <c r="W70" s="166" t="s">
        <v>79</v>
      </c>
    </row>
    <row r="71" spans="16:24" x14ac:dyDescent="0.3">
      <c r="W71" s="166" t="s">
        <v>79</v>
      </c>
    </row>
    <row r="72" spans="16:24" x14ac:dyDescent="0.3">
      <c r="W72" s="166" t="s">
        <v>79</v>
      </c>
    </row>
    <row r="73" spans="16:24" x14ac:dyDescent="0.3">
      <c r="W73" s="63"/>
    </row>
    <row r="74" spans="16:24" x14ac:dyDescent="0.3">
      <c r="W74" s="63"/>
    </row>
    <row r="75" spans="16:24" x14ac:dyDescent="0.3">
      <c r="W75" s="63"/>
    </row>
    <row r="76" spans="16:24" x14ac:dyDescent="0.3">
      <c r="W76" s="63"/>
    </row>
    <row r="77" spans="16:24" x14ac:dyDescent="0.3">
      <c r="W77" s="121"/>
    </row>
    <row r="78" spans="16:24" x14ac:dyDescent="0.3">
      <c r="W78" s="121"/>
    </row>
  </sheetData>
  <mergeCells count="104">
    <mergeCell ref="BJ27:BK27"/>
    <mergeCell ref="BJ28:BK28"/>
    <mergeCell ref="BL2:BN2"/>
    <mergeCell ref="BL17:BN17"/>
    <mergeCell ref="BI2:BK2"/>
    <mergeCell ref="BI17:BK17"/>
    <mergeCell ref="BI24:BK24"/>
    <mergeCell ref="BJ25:BK25"/>
    <mergeCell ref="BJ26:BK26"/>
    <mergeCell ref="BG27:BH27"/>
    <mergeCell ref="BG28:BH28"/>
    <mergeCell ref="BF30:BH30"/>
    <mergeCell ref="BG31:BH31"/>
    <mergeCell ref="BF2:BH2"/>
    <mergeCell ref="BF17:BH17"/>
    <mergeCell ref="BF24:BH24"/>
    <mergeCell ref="BG25:BH25"/>
    <mergeCell ref="BG26:BH26"/>
    <mergeCell ref="BD27:BE27"/>
    <mergeCell ref="BD28:BE28"/>
    <mergeCell ref="BC30:BE30"/>
    <mergeCell ref="BD31:BE31"/>
    <mergeCell ref="BC2:BE2"/>
    <mergeCell ref="BC17:BE17"/>
    <mergeCell ref="BC24:BE24"/>
    <mergeCell ref="BD25:BE25"/>
    <mergeCell ref="BD26:BE26"/>
    <mergeCell ref="AW2:AY2"/>
    <mergeCell ref="AW17:AY17"/>
    <mergeCell ref="AW24:AY24"/>
    <mergeCell ref="AX25:AY25"/>
    <mergeCell ref="AX26:AY26"/>
    <mergeCell ref="BA27:BB27"/>
    <mergeCell ref="BA28:BB28"/>
    <mergeCell ref="AZ30:BB30"/>
    <mergeCell ref="BA31:BB31"/>
    <mergeCell ref="AZ2:BB2"/>
    <mergeCell ref="AZ17:BB17"/>
    <mergeCell ref="AZ24:BB24"/>
    <mergeCell ref="BA25:BB25"/>
    <mergeCell ref="BA26:BB26"/>
    <mergeCell ref="AU25:AV25"/>
    <mergeCell ref="AU26:AV26"/>
    <mergeCell ref="AU27:AV27"/>
    <mergeCell ref="AU28:AV28"/>
    <mergeCell ref="AT30:AV30"/>
    <mergeCell ref="AU31:AV31"/>
    <mergeCell ref="AX27:AY27"/>
    <mergeCell ref="AX28:AY28"/>
    <mergeCell ref="AW30:AY30"/>
    <mergeCell ref="AX31:AY31"/>
    <mergeCell ref="AM31:AN31"/>
    <mergeCell ref="AL30:AN30"/>
    <mergeCell ref="AM27:AN27"/>
    <mergeCell ref="AM28:AN28"/>
    <mergeCell ref="AL2:AN2"/>
    <mergeCell ref="AL17:AN17"/>
    <mergeCell ref="AL24:AN24"/>
    <mergeCell ref="AM25:AN25"/>
    <mergeCell ref="AM26:AN26"/>
    <mergeCell ref="W2:Y2"/>
    <mergeCell ref="W17:Y17"/>
    <mergeCell ref="T2:V2"/>
    <mergeCell ref="T17:V17"/>
    <mergeCell ref="Y24:Z24"/>
    <mergeCell ref="Z17:AB17"/>
    <mergeCell ref="Z2:AB2"/>
    <mergeCell ref="AT2:AV2"/>
    <mergeCell ref="AT17:AV17"/>
    <mergeCell ref="AT24:AV24"/>
    <mergeCell ref="B34:B35"/>
    <mergeCell ref="C2:E2"/>
    <mergeCell ref="F24:G24"/>
    <mergeCell ref="I24:L24"/>
    <mergeCell ref="M24:N24"/>
    <mergeCell ref="F32:P32"/>
    <mergeCell ref="P2:S2"/>
    <mergeCell ref="C17:E17"/>
    <mergeCell ref="F17:H17"/>
    <mergeCell ref="I17:L17"/>
    <mergeCell ref="P17:S17"/>
    <mergeCell ref="F2:H2"/>
    <mergeCell ref="B2:B3"/>
    <mergeCell ref="B17:B18"/>
    <mergeCell ref="B24:B25"/>
    <mergeCell ref="I2:L2"/>
    <mergeCell ref="M2:N2"/>
    <mergeCell ref="M17:N17"/>
    <mergeCell ref="AJ25:AK25"/>
    <mergeCell ref="AJ26:AK26"/>
    <mergeCell ref="AC17:AE17"/>
    <mergeCell ref="AC2:AE2"/>
    <mergeCell ref="AI2:AK2"/>
    <mergeCell ref="AI17:AK17"/>
    <mergeCell ref="AI24:AK24"/>
    <mergeCell ref="AJ27:AK27"/>
    <mergeCell ref="AJ28:AK28"/>
    <mergeCell ref="AF2:AH2"/>
    <mergeCell ref="AF17:AH17"/>
    <mergeCell ref="AD28:AE28"/>
    <mergeCell ref="AD27:AE27"/>
    <mergeCell ref="AD25:AE25"/>
    <mergeCell ref="AC24:AE24"/>
    <mergeCell ref="AD26:AE26"/>
  </mergeCells>
  <printOptions horizontalCentered="1"/>
  <pageMargins left="0" right="0" top="0.5" bottom="0.38" header="0.17" footer="0.17"/>
  <pageSetup paperSize="17" scale="73" fitToWidth="2" orientation="landscape" r:id="rId1"/>
  <headerFooter>
    <oddHeader>&amp;C&amp;24Fixed Asset Shared Services Statistical Trends as of 12/31/17</oddHeader>
    <oddFooter>&amp;C&amp;Z&amp;F</oddFooter>
  </headerFooter>
  <colBreaks count="1" manualBreakCount="1">
    <brk id="2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Prelim</vt:lpstr>
      <vt:lpstr>FINAL</vt:lpstr>
      <vt:lpstr>FINAL!Print_Area</vt:lpstr>
    </vt:vector>
  </TitlesOfParts>
  <Company>Johns Hopkins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cholber1</dc:creator>
  <cp:lastModifiedBy>Karen Durning</cp:lastModifiedBy>
  <cp:lastPrinted>2018-02-08T17:13:05Z</cp:lastPrinted>
  <dcterms:created xsi:type="dcterms:W3CDTF">2010-01-04T19:04:09Z</dcterms:created>
  <dcterms:modified xsi:type="dcterms:W3CDTF">2025-07-21T12:54:39Z</dcterms:modified>
</cp:coreProperties>
</file>